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https://cde2.sharepoint.com/sites/Compliance/Product Compliance/04_Conflict Minerals/CMRT_Current/v6.4/"/>
    </mc:Choice>
  </mc:AlternateContent>
  <xr:revisionPtr revIDLastSave="0" documentId="8_{22ACB4CC-8C25-48AF-A10A-88F8074662D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57" i="5" l="1"/>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9" i="5" s="1"/>
  <c r="C4"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7" i="5"/>
  <c r="E157" i="5"/>
  <c r="X157" i="5" s="1"/>
  <c r="V158" i="5"/>
  <c r="E158" i="5"/>
  <c r="X158" i="5" s="1"/>
  <c r="V159" i="5"/>
  <c r="E159" i="5"/>
  <c r="X159" i="5" s="1"/>
  <c r="V160" i="5"/>
  <c r="E160" i="5"/>
  <c r="X160" i="5" s="1"/>
  <c r="V161" i="5"/>
  <c r="E161" i="5"/>
  <c r="X161" i="5" s="1"/>
  <c r="V162" i="5"/>
  <c r="E162" i="5"/>
  <c r="V163" i="5"/>
  <c r="E163" i="5"/>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V176" i="5"/>
  <c r="E176" i="5"/>
  <c r="X176" i="5" s="1"/>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V186" i="5"/>
  <c r="E186" i="5"/>
  <c r="X186" i="5" s="1"/>
  <c r="V187" i="5"/>
  <c r="E187" i="5"/>
  <c r="X187" i="5" s="1"/>
  <c r="V188" i="5"/>
  <c r="E188" i="5"/>
  <c r="X188" i="5" s="1"/>
  <c r="V189" i="5"/>
  <c r="E189" i="5"/>
  <c r="X189" i="5" s="1"/>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V233" i="5"/>
  <c r="E233" i="5"/>
  <c r="V234" i="5"/>
  <c r="E234" i="5"/>
  <c r="X234" i="5" s="1"/>
  <c r="V235" i="5"/>
  <c r="E235" i="5"/>
  <c r="V236" i="5"/>
  <c r="E236" i="5"/>
  <c r="X236" i="5" s="1"/>
  <c r="V237" i="5"/>
  <c r="E237" i="5"/>
  <c r="X237" i="5" s="1"/>
  <c r="V238" i="5"/>
  <c r="E238" i="5"/>
  <c r="X238" i="5" s="1"/>
  <c r="V239" i="5"/>
  <c r="E239" i="5"/>
  <c r="X239" i="5" s="1"/>
  <c r="V240" i="5"/>
  <c r="E240" i="5"/>
  <c r="X240" i="5" s="1"/>
  <c r="V241" i="5"/>
  <c r="E241" i="5"/>
  <c r="X241" i="5" s="1"/>
  <c r="V242" i="5"/>
  <c r="E242" i="5"/>
  <c r="V243" i="5"/>
  <c r="E243" i="5"/>
  <c r="V244" i="5"/>
  <c r="E244" i="5"/>
  <c r="V245" i="5"/>
  <c r="E245" i="5"/>
  <c r="V246" i="5"/>
  <c r="E246" i="5"/>
  <c r="X246" i="5" s="1"/>
  <c r="V247" i="5"/>
  <c r="E247" i="5"/>
  <c r="X247" i="5" s="1"/>
  <c r="V248" i="5"/>
  <c r="E248" i="5"/>
  <c r="X248" i="5" s="1"/>
  <c r="V249" i="5"/>
  <c r="E249" i="5"/>
  <c r="X249" i="5" s="1"/>
  <c r="V250" i="5"/>
  <c r="E250" i="5"/>
  <c r="X250" i="5" s="1"/>
  <c r="V251" i="5"/>
  <c r="E251" i="5"/>
  <c r="X251" i="5" s="1"/>
  <c r="V252" i="5"/>
  <c r="E252" i="5"/>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V283" i="5"/>
  <c r="E283" i="5"/>
  <c r="X283" i="5" s="1"/>
  <c r="V284" i="5"/>
  <c r="E284" i="5"/>
  <c r="V285" i="5"/>
  <c r="E285" i="5"/>
  <c r="V286" i="5"/>
  <c r="E286" i="5"/>
  <c r="X286" i="5" s="1"/>
  <c r="V287" i="5"/>
  <c r="E287" i="5"/>
  <c r="X287" i="5" s="1"/>
  <c r="V288" i="5"/>
  <c r="E288" i="5"/>
  <c r="X288" i="5" s="1"/>
  <c r="V289" i="5"/>
  <c r="E289" i="5"/>
  <c r="X289" i="5" s="1"/>
  <c r="V290" i="5"/>
  <c r="E290" i="5"/>
  <c r="X290" i="5" s="1"/>
  <c r="V291" i="5"/>
  <c r="E291" i="5"/>
  <c r="X291" i="5" s="1"/>
  <c r="V292" i="5"/>
  <c r="E292" i="5"/>
  <c r="V293" i="5"/>
  <c r="E293" i="5"/>
  <c r="V294" i="5"/>
  <c r="E294" i="5"/>
  <c r="X294" i="5" s="1"/>
  <c r="V295" i="5"/>
  <c r="E295" i="5"/>
  <c r="V296" i="5"/>
  <c r="E296" i="5"/>
  <c r="X296" i="5" s="1"/>
  <c r="V297" i="5"/>
  <c r="E297" i="5"/>
  <c r="X297" i="5" s="1"/>
  <c r="V298" i="5"/>
  <c r="E298" i="5"/>
  <c r="X298" i="5" s="1"/>
  <c r="V299" i="5"/>
  <c r="E299" i="5"/>
  <c r="X299" i="5" s="1"/>
  <c r="V300" i="5"/>
  <c r="E300" i="5"/>
  <c r="X300" i="5" s="1"/>
  <c r="V301" i="5"/>
  <c r="E301" i="5"/>
  <c r="X301" i="5" s="1"/>
  <c r="V302" i="5"/>
  <c r="E302" i="5"/>
  <c r="V303" i="5"/>
  <c r="E303" i="5"/>
  <c r="V304" i="5"/>
  <c r="E304" i="5"/>
  <c r="X304" i="5" s="1"/>
  <c r="V305" i="5"/>
  <c r="E305" i="5"/>
  <c r="V306" i="5"/>
  <c r="E306" i="5"/>
  <c r="X306" i="5" s="1"/>
  <c r="V307" i="5"/>
  <c r="E307" i="5"/>
  <c r="X307" i="5" s="1"/>
  <c r="V308" i="5"/>
  <c r="E308" i="5"/>
  <c r="X308" i="5" s="1"/>
  <c r="V309" i="5"/>
  <c r="E309" i="5"/>
  <c r="X309" i="5" s="1"/>
  <c r="V310" i="5"/>
  <c r="E310" i="5"/>
  <c r="X310" i="5" s="1"/>
  <c r="V311" i="5"/>
  <c r="E311" i="5"/>
  <c r="X311" i="5" s="1"/>
  <c r="V312" i="5"/>
  <c r="E312" i="5"/>
  <c r="V313" i="5"/>
  <c r="E313" i="5"/>
  <c r="V314" i="5"/>
  <c r="E314" i="5"/>
  <c r="X314" i="5" s="1"/>
  <c r="V315" i="5"/>
  <c r="E315" i="5"/>
  <c r="V316" i="5"/>
  <c r="E316" i="5"/>
  <c r="X316" i="5" s="1"/>
  <c r="V317" i="5"/>
  <c r="E317" i="5"/>
  <c r="X317" i="5" s="1"/>
  <c r="V318" i="5"/>
  <c r="E318" i="5"/>
  <c r="X318" i="5" s="1"/>
  <c r="V319" i="5"/>
  <c r="E319" i="5"/>
  <c r="X319" i="5" s="1"/>
  <c r="V320" i="5"/>
  <c r="E320" i="5"/>
  <c r="X320" i="5" s="1"/>
  <c r="V321" i="5"/>
  <c r="E321" i="5"/>
  <c r="X321" i="5" s="1"/>
  <c r="V322" i="5"/>
  <c r="E322" i="5"/>
  <c r="V323" i="5"/>
  <c r="E323" i="5"/>
  <c r="X323" i="5" s="1"/>
  <c r="V324" i="5"/>
  <c r="E324" i="5"/>
  <c r="X324" i="5" s="1"/>
  <c r="V325" i="5"/>
  <c r="E325" i="5"/>
  <c r="V326" i="5"/>
  <c r="E326" i="5"/>
  <c r="X326" i="5" s="1"/>
  <c r="V327" i="5"/>
  <c r="E327" i="5"/>
  <c r="X327" i="5" s="1"/>
  <c r="V328" i="5"/>
  <c r="E328" i="5"/>
  <c r="X328" i="5" s="1"/>
  <c r="V329" i="5"/>
  <c r="E329" i="5"/>
  <c r="X329" i="5" s="1"/>
  <c r="V330" i="5"/>
  <c r="E330" i="5"/>
  <c r="X330" i="5" s="1"/>
  <c r="V331" i="5"/>
  <c r="E331" i="5"/>
  <c r="X331" i="5" s="1"/>
  <c r="V332" i="5"/>
  <c r="E332" i="5"/>
  <c r="V333" i="5"/>
  <c r="E333" i="5"/>
  <c r="V334" i="5"/>
  <c r="E334" i="5"/>
  <c r="X334" i="5" s="1"/>
  <c r="V335" i="5"/>
  <c r="E335" i="5"/>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V353" i="5"/>
  <c r="E353" i="5"/>
  <c r="X353" i="5" s="1"/>
  <c r="V354" i="5"/>
  <c r="E354" i="5"/>
  <c r="V355" i="5"/>
  <c r="E355" i="5"/>
  <c r="V356" i="5"/>
  <c r="E356" i="5"/>
  <c r="X356" i="5" s="1"/>
  <c r="V357" i="5"/>
  <c r="E357" i="5"/>
  <c r="X357" i="5" s="1"/>
  <c r="V358" i="5"/>
  <c r="E358" i="5"/>
  <c r="X358" i="5" s="1"/>
  <c r="V359" i="5"/>
  <c r="E359" i="5"/>
  <c r="X359" i="5" s="1"/>
  <c r="V360" i="5"/>
  <c r="E360" i="5"/>
  <c r="X360" i="5" s="1"/>
  <c r="V361" i="5"/>
  <c r="E361" i="5"/>
  <c r="X361" i="5" s="1"/>
  <c r="V362" i="5"/>
  <c r="E362" i="5"/>
  <c r="V363" i="5"/>
  <c r="E363" i="5"/>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V383" i="5"/>
  <c r="E383" i="5"/>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V393" i="5"/>
  <c r="E393" i="5"/>
  <c r="X393" i="5" s="1"/>
  <c r="V394" i="5"/>
  <c r="E394" i="5"/>
  <c r="V395" i="5"/>
  <c r="E395" i="5"/>
  <c r="V396" i="5"/>
  <c r="E396" i="5"/>
  <c r="X396" i="5" s="1"/>
  <c r="V397" i="5"/>
  <c r="E397" i="5"/>
  <c r="X397" i="5" s="1"/>
  <c r="V398" i="5"/>
  <c r="E398" i="5"/>
  <c r="X398" i="5" s="1"/>
  <c r="V399" i="5"/>
  <c r="E399" i="5"/>
  <c r="X399" i="5" s="1"/>
  <c r="V400" i="5"/>
  <c r="E400" i="5"/>
  <c r="X400" i="5" s="1"/>
  <c r="V401" i="5"/>
  <c r="E401" i="5"/>
  <c r="X401" i="5" s="1"/>
  <c r="V402" i="5"/>
  <c r="E402" i="5"/>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V423" i="5"/>
  <c r="E423" i="5"/>
  <c r="V424" i="5"/>
  <c r="E424" i="5"/>
  <c r="X424" i="5" s="1"/>
  <c r="V425" i="5"/>
  <c r="E425" i="5"/>
  <c r="V426" i="5"/>
  <c r="E426" i="5"/>
  <c r="X426" i="5" s="1"/>
  <c r="V427" i="5"/>
  <c r="E427" i="5"/>
  <c r="X427" i="5" s="1"/>
  <c r="V428" i="5"/>
  <c r="E428" i="5"/>
  <c r="X428" i="5" s="1"/>
  <c r="V429" i="5"/>
  <c r="E429" i="5"/>
  <c r="X429" i="5" s="1"/>
  <c r="V430" i="5"/>
  <c r="E430" i="5"/>
  <c r="X430" i="5" s="1"/>
  <c r="V431" i="5"/>
  <c r="E431" i="5"/>
  <c r="X431" i="5" s="1"/>
  <c r="V432" i="5"/>
  <c r="E432" i="5"/>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V442" i="5"/>
  <c r="E442" i="5"/>
  <c r="V443" i="5"/>
  <c r="E443" i="5"/>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V482" i="5"/>
  <c r="E482" i="5"/>
  <c r="V483" i="5"/>
  <c r="E483" i="5"/>
  <c r="V484" i="5"/>
  <c r="E484" i="5"/>
  <c r="X484" i="5" s="1"/>
  <c r="V485" i="5"/>
  <c r="E485" i="5"/>
  <c r="V486" i="5"/>
  <c r="E486" i="5"/>
  <c r="X486" i="5" s="1"/>
  <c r="V487" i="5"/>
  <c r="E487" i="5"/>
  <c r="X487" i="5" s="1"/>
  <c r="V488" i="5"/>
  <c r="E488" i="5"/>
  <c r="X488" i="5" s="1"/>
  <c r="V489" i="5"/>
  <c r="E489" i="5"/>
  <c r="X489" i="5" s="1"/>
  <c r="V490" i="5"/>
  <c r="E490" i="5"/>
  <c r="X490" i="5" s="1"/>
  <c r="V491" i="5"/>
  <c r="E491" i="5"/>
  <c r="X491" i="5" s="1"/>
  <c r="V492" i="5"/>
  <c r="E492" i="5"/>
  <c r="V493" i="5"/>
  <c r="E493" i="5"/>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V503" i="5"/>
  <c r="E503" i="5"/>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V533" i="5"/>
  <c r="E533" i="5"/>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X551" i="5" s="1"/>
  <c r="V552" i="5"/>
  <c r="E552" i="5"/>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V563" i="5"/>
  <c r="E563" i="5"/>
  <c r="X563" i="5" s="1"/>
  <c r="V564" i="5"/>
  <c r="E564" i="5"/>
  <c r="X564" i="5" s="1"/>
  <c r="V565" i="5"/>
  <c r="E565" i="5"/>
  <c r="V566" i="5"/>
  <c r="E566" i="5"/>
  <c r="X566" i="5" s="1"/>
  <c r="V567" i="5"/>
  <c r="E567" i="5"/>
  <c r="X567" i="5" s="1"/>
  <c r="V568" i="5"/>
  <c r="E568" i="5"/>
  <c r="X568" i="5" s="1"/>
  <c r="V569" i="5"/>
  <c r="E569" i="5"/>
  <c r="X569" i="5" s="1"/>
  <c r="V570" i="5"/>
  <c r="E570" i="5"/>
  <c r="X570" i="5" s="1"/>
  <c r="V571" i="5"/>
  <c r="E571" i="5"/>
  <c r="X571" i="5" s="1"/>
  <c r="V572" i="5"/>
  <c r="E572" i="5"/>
  <c r="V573" i="5"/>
  <c r="E573" i="5"/>
  <c r="V574" i="5"/>
  <c r="E574" i="5"/>
  <c r="X574" i="5" s="1"/>
  <c r="V575" i="5"/>
  <c r="E575" i="5"/>
  <c r="V576" i="5"/>
  <c r="E576" i="5"/>
  <c r="X576" i="5" s="1"/>
  <c r="V577" i="5"/>
  <c r="E577" i="5"/>
  <c r="X577" i="5" s="1"/>
  <c r="V578" i="5"/>
  <c r="E578" i="5"/>
  <c r="X578" i="5" s="1"/>
  <c r="V579" i="5"/>
  <c r="E579" i="5"/>
  <c r="X579" i="5" s="1"/>
  <c r="V580" i="5"/>
  <c r="E580" i="5"/>
  <c r="X580" i="5" s="1"/>
  <c r="V581" i="5"/>
  <c r="E581" i="5"/>
  <c r="V582" i="5"/>
  <c r="E582" i="5"/>
  <c r="V583" i="5"/>
  <c r="E583" i="5"/>
  <c r="V584" i="5"/>
  <c r="E584" i="5"/>
  <c r="X584" i="5" s="1"/>
  <c r="V585" i="5"/>
  <c r="E585" i="5"/>
  <c r="V586" i="5"/>
  <c r="E586" i="5"/>
  <c r="X586" i="5" s="1"/>
  <c r="V587" i="5"/>
  <c r="E587" i="5"/>
  <c r="X587" i="5" s="1"/>
  <c r="V588" i="5"/>
  <c r="E588" i="5"/>
  <c r="X588" i="5" s="1"/>
  <c r="V589" i="5"/>
  <c r="E589" i="5"/>
  <c r="X589" i="5" s="1"/>
  <c r="V590" i="5"/>
  <c r="E590" i="5"/>
  <c r="X590" i="5" s="1"/>
  <c r="V591" i="5"/>
  <c r="E591" i="5"/>
  <c r="X591" i="5" s="1"/>
  <c r="V592" i="5"/>
  <c r="E592" i="5"/>
  <c r="V593" i="5"/>
  <c r="E593" i="5"/>
  <c r="X593" i="5" s="1"/>
  <c r="V594" i="5"/>
  <c r="E594" i="5"/>
  <c r="X594" i="5" s="1"/>
  <c r="V595" i="5"/>
  <c r="E595" i="5"/>
  <c r="V596" i="5"/>
  <c r="E596" i="5"/>
  <c r="X596" i="5" s="1"/>
  <c r="V597" i="5"/>
  <c r="E597" i="5"/>
  <c r="X597" i="5" s="1"/>
  <c r="V598" i="5"/>
  <c r="E598" i="5"/>
  <c r="X598" i="5" s="1"/>
  <c r="V599" i="5"/>
  <c r="E599" i="5"/>
  <c r="X599" i="5" s="1"/>
  <c r="V600" i="5"/>
  <c r="E600" i="5"/>
  <c r="X600" i="5" s="1"/>
  <c r="V601" i="5"/>
  <c r="E601" i="5"/>
  <c r="X601" i="5" s="1"/>
  <c r="V602" i="5"/>
  <c r="E602" i="5"/>
  <c r="V603" i="5"/>
  <c r="E603" i="5"/>
  <c r="V604" i="5"/>
  <c r="E604" i="5"/>
  <c r="X604" i="5" s="1"/>
  <c r="V605" i="5"/>
  <c r="E605" i="5"/>
  <c r="V606" i="5"/>
  <c r="E606" i="5"/>
  <c r="X606" i="5" s="1"/>
  <c r="V607" i="5"/>
  <c r="E607" i="5"/>
  <c r="X607" i="5" s="1"/>
  <c r="V608" i="5"/>
  <c r="E608" i="5"/>
  <c r="X608" i="5" s="1"/>
  <c r="V609" i="5"/>
  <c r="E609" i="5"/>
  <c r="X609" i="5" s="1"/>
  <c r="V610" i="5"/>
  <c r="E610" i="5"/>
  <c r="X610" i="5" s="1"/>
  <c r="V611" i="5"/>
  <c r="E611" i="5"/>
  <c r="X611" i="5" s="1"/>
  <c r="V612" i="5"/>
  <c r="E612" i="5"/>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X631" i="5" s="1"/>
  <c r="V632" i="5"/>
  <c r="E632" i="5"/>
  <c r="V633" i="5"/>
  <c r="E633" i="5"/>
  <c r="V634" i="5"/>
  <c r="E634" i="5"/>
  <c r="X634" i="5" s="1"/>
  <c r="V635" i="5"/>
  <c r="E635" i="5"/>
  <c r="V636" i="5"/>
  <c r="E636" i="5"/>
  <c r="X636" i="5" s="1"/>
  <c r="V637" i="5"/>
  <c r="E637" i="5"/>
  <c r="X637" i="5" s="1"/>
  <c r="V638" i="5"/>
  <c r="E638" i="5"/>
  <c r="X638" i="5" s="1"/>
  <c r="V639" i="5"/>
  <c r="E639" i="5"/>
  <c r="X639" i="5" s="1"/>
  <c r="V640" i="5"/>
  <c r="E640" i="5"/>
  <c r="X640" i="5" s="1"/>
  <c r="V641" i="5"/>
  <c r="E641" i="5"/>
  <c r="X641" i="5" s="1"/>
  <c r="V642" i="5"/>
  <c r="E642" i="5"/>
  <c r="V643" i="5"/>
  <c r="E643" i="5"/>
  <c r="V644" i="5"/>
  <c r="E644" i="5"/>
  <c r="X644" i="5" s="1"/>
  <c r="V645" i="5"/>
  <c r="E645" i="5"/>
  <c r="V646" i="5"/>
  <c r="E646" i="5"/>
  <c r="X646" i="5" s="1"/>
  <c r="V647" i="5"/>
  <c r="E647" i="5"/>
  <c r="X647" i="5" s="1"/>
  <c r="V648" i="5"/>
  <c r="E648" i="5"/>
  <c r="X648" i="5" s="1"/>
  <c r="V649" i="5"/>
  <c r="E649" i="5"/>
  <c r="X649" i="5" s="1"/>
  <c r="V650" i="5"/>
  <c r="E650" i="5"/>
  <c r="X650" i="5" s="1"/>
  <c r="V651" i="5"/>
  <c r="E651" i="5"/>
  <c r="X651" i="5" s="1"/>
  <c r="V652" i="5"/>
  <c r="E652" i="5"/>
  <c r="V653" i="5"/>
  <c r="E653" i="5"/>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V673" i="5"/>
  <c r="E673" i="5"/>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V723" i="5"/>
  <c r="E723" i="5"/>
  <c r="X723" i="5" s="1"/>
  <c r="V724" i="5"/>
  <c r="E724" i="5"/>
  <c r="X724" i="5" s="1"/>
  <c r="V725" i="5"/>
  <c r="E725" i="5"/>
  <c r="V726" i="5"/>
  <c r="E726" i="5"/>
  <c r="X726" i="5" s="1"/>
  <c r="V727" i="5"/>
  <c r="E727" i="5"/>
  <c r="X727" i="5" s="1"/>
  <c r="V728" i="5"/>
  <c r="E728" i="5"/>
  <c r="X728" i="5" s="1"/>
  <c r="V729" i="5"/>
  <c r="E729" i="5"/>
  <c r="X729" i="5" s="1"/>
  <c r="V730" i="5"/>
  <c r="E730" i="5"/>
  <c r="X730" i="5" s="1"/>
  <c r="V731" i="5"/>
  <c r="E731" i="5"/>
  <c r="X731" i="5" s="1"/>
  <c r="V732" i="5"/>
  <c r="E732" i="5"/>
  <c r="V733" i="5"/>
  <c r="E733" i="5"/>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V823" i="5"/>
  <c r="E823" i="5"/>
  <c r="V824" i="5"/>
  <c r="E824" i="5"/>
  <c r="X824" i="5" s="1"/>
  <c r="V825" i="5"/>
  <c r="E825" i="5"/>
  <c r="V826" i="5"/>
  <c r="E826" i="5"/>
  <c r="X826" i="5" s="1"/>
  <c r="V827" i="5"/>
  <c r="E827" i="5"/>
  <c r="X827" i="5" s="1"/>
  <c r="V828" i="5"/>
  <c r="E828" i="5"/>
  <c r="X828" i="5" s="1"/>
  <c r="V829" i="5"/>
  <c r="E829" i="5"/>
  <c r="X829" i="5" s="1"/>
  <c r="V830" i="5"/>
  <c r="E830" i="5"/>
  <c r="X830" i="5" s="1"/>
  <c r="V831" i="5"/>
  <c r="E831" i="5"/>
  <c r="X831" i="5" s="1"/>
  <c r="V832" i="5"/>
  <c r="E832" i="5"/>
  <c r="V833" i="5"/>
  <c r="E833" i="5"/>
  <c r="V834" i="5"/>
  <c r="E834" i="5"/>
  <c r="X834" i="5" s="1"/>
  <c r="V835" i="5"/>
  <c r="E835" i="5"/>
  <c r="V836" i="5"/>
  <c r="E836" i="5"/>
  <c r="X836" i="5" s="1"/>
  <c r="V837" i="5"/>
  <c r="E837" i="5"/>
  <c r="X837" i="5" s="1"/>
  <c r="V838" i="5"/>
  <c r="E838" i="5"/>
  <c r="X838" i="5" s="1"/>
  <c r="V839" i="5"/>
  <c r="E839" i="5"/>
  <c r="X839" i="5" s="1"/>
  <c r="V840" i="5"/>
  <c r="E840" i="5"/>
  <c r="X840" i="5" s="1"/>
  <c r="V841" i="5"/>
  <c r="E841" i="5"/>
  <c r="X841" i="5" s="1"/>
  <c r="V842" i="5"/>
  <c r="E842" i="5"/>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V863" i="5"/>
  <c r="E863" i="5"/>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V923" i="5"/>
  <c r="E923" i="5"/>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V983" i="5"/>
  <c r="E983" i="5"/>
  <c r="V984" i="5"/>
  <c r="E984" i="5"/>
  <c r="X984" i="5" s="1"/>
  <c r="V985" i="5"/>
  <c r="E985" i="5"/>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V1023" i="5"/>
  <c r="E1023" i="5"/>
  <c r="X1023" i="5" s="1"/>
  <c r="V1024" i="5"/>
  <c r="E1024" i="5"/>
  <c r="X1024" i="5" s="1"/>
  <c r="V1025" i="5"/>
  <c r="E1025" i="5"/>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X1181" i="5" s="1"/>
  <c r="V1182" i="5"/>
  <c r="E1182" i="5"/>
  <c r="V1183" i="5"/>
  <c r="E1183" i="5"/>
  <c r="V1184" i="5"/>
  <c r="E1184" i="5"/>
  <c r="X1184" i="5" s="1"/>
  <c r="V1185" i="5"/>
  <c r="E1185" i="5"/>
  <c r="V1186" i="5"/>
  <c r="E1186" i="5"/>
  <c r="X1186" i="5" s="1"/>
  <c r="V1187" i="5"/>
  <c r="E1187" i="5"/>
  <c r="X1187" i="5" s="1"/>
  <c r="V1188" i="5"/>
  <c r="E1188" i="5"/>
  <c r="X1188" i="5" s="1"/>
  <c r="V1189" i="5"/>
  <c r="E1189" i="5"/>
  <c r="X1189" i="5" s="1"/>
  <c r="V1190" i="5"/>
  <c r="E1190" i="5"/>
  <c r="X1190" i="5" s="1"/>
  <c r="V1191" i="5"/>
  <c r="E1191" i="5"/>
  <c r="X1191" i="5" s="1"/>
  <c r="V1192" i="5"/>
  <c r="E1192" i="5"/>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V1204" i="5"/>
  <c r="E1204" i="5"/>
  <c r="X1204" i="5" s="1"/>
  <c r="V1205" i="5"/>
  <c r="E1205" i="5"/>
  <c r="V1206" i="5"/>
  <c r="E1206" i="5"/>
  <c r="X1206" i="5" s="1"/>
  <c r="V1207" i="5"/>
  <c r="E1207" i="5"/>
  <c r="X1207" i="5" s="1"/>
  <c r="V1208" i="5"/>
  <c r="E1208" i="5"/>
  <c r="X1208" i="5" s="1"/>
  <c r="V1209" i="5"/>
  <c r="E1209" i="5"/>
  <c r="X1209" i="5" s="1"/>
  <c r="V1210" i="5"/>
  <c r="E1210" i="5"/>
  <c r="X1210" i="5" s="1"/>
  <c r="V1211" i="5"/>
  <c r="E1211" i="5"/>
  <c r="V1212" i="5"/>
  <c r="E1212" i="5"/>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V1253" i="5"/>
  <c r="E1253" i="5"/>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X1301" i="5" s="1"/>
  <c r="V1302" i="5"/>
  <c r="E1302" i="5"/>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V1313" i="5"/>
  <c r="E1313" i="5"/>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V1366" i="5"/>
  <c r="E1366" i="5"/>
  <c r="X1366" i="5" s="1"/>
  <c r="V1367" i="5"/>
  <c r="E1367" i="5"/>
  <c r="X1367" i="5" s="1"/>
  <c r="V1368" i="5"/>
  <c r="E1368" i="5"/>
  <c r="X1368" i="5" s="1"/>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V1403" i="5"/>
  <c r="E1403" i="5"/>
  <c r="X1403" i="5" s="1"/>
  <c r="V1404" i="5"/>
  <c r="E1404" i="5"/>
  <c r="X1404" i="5" s="1"/>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V1433" i="5"/>
  <c r="E1433" i="5"/>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V1456" i="5"/>
  <c r="E1456" i="5"/>
  <c r="X1456" i="5" s="1"/>
  <c r="V1457" i="5"/>
  <c r="E1457" i="5"/>
  <c r="X1457" i="5" s="1"/>
  <c r="V1458" i="5"/>
  <c r="E1458" i="5"/>
  <c r="X1458" i="5" s="1"/>
  <c r="V1459" i="5"/>
  <c r="E1459" i="5"/>
  <c r="X1459" i="5" s="1"/>
  <c r="V1460" i="5"/>
  <c r="E1460" i="5"/>
  <c r="X1460" i="5" s="1"/>
  <c r="V1461" i="5"/>
  <c r="E1461" i="5"/>
  <c r="X1461" i="5" s="1"/>
  <c r="V1462" i="5"/>
  <c r="E1462" i="5"/>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V1543" i="5"/>
  <c r="E1543" i="5"/>
  <c r="X1543" i="5" s="1"/>
  <c r="V1544" i="5"/>
  <c r="E1544" i="5"/>
  <c r="X1544" i="5" s="1"/>
  <c r="V1545" i="5"/>
  <c r="E1545" i="5"/>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V1564" i="5"/>
  <c r="E1564" i="5"/>
  <c r="X1564" i="5" s="1"/>
  <c r="V1565" i="5"/>
  <c r="E1565" i="5"/>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V1596" i="5"/>
  <c r="E1596" i="5"/>
  <c r="X1596" i="5" s="1"/>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V1612" i="5"/>
  <c r="E1612" i="5"/>
  <c r="V1613" i="5"/>
  <c r="E1613" i="5"/>
  <c r="X1613" i="5" s="1"/>
  <c r="V1614" i="5"/>
  <c r="E1614" i="5"/>
  <c r="X1614" i="5" s="1"/>
  <c r="V1615" i="5"/>
  <c r="E1615" i="5"/>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V1633" i="5"/>
  <c r="E1633" i="5"/>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X1641" i="5" s="1"/>
  <c r="V1642" i="5"/>
  <c r="E1642" i="5"/>
  <c r="V1643" i="5"/>
  <c r="E1643" i="5"/>
  <c r="V1644" i="5"/>
  <c r="E1644" i="5"/>
  <c r="X1644" i="5" s="1"/>
  <c r="V1645" i="5"/>
  <c r="E1645" i="5"/>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V1693" i="5"/>
  <c r="E1693" i="5"/>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V1713" i="5"/>
  <c r="E1713" i="5"/>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X1731" i="5" s="1"/>
  <c r="V1732" i="5"/>
  <c r="E1732" i="5"/>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V1743" i="5"/>
  <c r="E1743" i="5"/>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V1763" i="5"/>
  <c r="E1763" i="5"/>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X1801" i="5" s="1"/>
  <c r="V1802" i="5"/>
  <c r="E1802" i="5"/>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V1854" i="5"/>
  <c r="E1854" i="5"/>
  <c r="X1854" i="5" s="1"/>
  <c r="V1855" i="5"/>
  <c r="E1855" i="5"/>
  <c r="V1856" i="5"/>
  <c r="E1856" i="5"/>
  <c r="X1856" i="5" s="1"/>
  <c r="V1857" i="5"/>
  <c r="E1857" i="5"/>
  <c r="X1857" i="5" s="1"/>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V1876" i="5"/>
  <c r="E1876" i="5"/>
  <c r="X1876" i="5" s="1"/>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X1884" i="5" s="1"/>
  <c r="V1885" i="5"/>
  <c r="E1885" i="5"/>
  <c r="V1886" i="5"/>
  <c r="E1886" i="5"/>
  <c r="X1886" i="5" s="1"/>
  <c r="V1887" i="5"/>
  <c r="E1887" i="5"/>
  <c r="X1887" i="5" s="1"/>
  <c r="V1888" i="5"/>
  <c r="E1888" i="5"/>
  <c r="X1888" i="5" s="1"/>
  <c r="V1889" i="5"/>
  <c r="E1889" i="5"/>
  <c r="X1889" i="5" s="1"/>
  <c r="V1890" i="5"/>
  <c r="E1890" i="5"/>
  <c r="X1890" i="5" s="1"/>
  <c r="V1891" i="5"/>
  <c r="E1891" i="5"/>
  <c r="V1892" i="5"/>
  <c r="E1892" i="5"/>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X1900" i="5" s="1"/>
  <c r="V1901" i="5"/>
  <c r="E1901" i="5"/>
  <c r="X1901" i="5" s="1"/>
  <c r="V1902" i="5"/>
  <c r="E1902" i="5"/>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X2044" i="5" s="1"/>
  <c r="V2045" i="5"/>
  <c r="E2045" i="5"/>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V2113" i="5"/>
  <c r="E2113" i="5"/>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V2122" i="5"/>
  <c r="E2122" i="5"/>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V2143" i="5"/>
  <c r="E2143" i="5"/>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V2213" i="5"/>
  <c r="E2213" i="5"/>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V2233" i="5"/>
  <c r="E2233" i="5"/>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X2301" i="5" s="1"/>
  <c r="V2302" i="5"/>
  <c r="E2302" i="5"/>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V2406" i="5"/>
  <c r="E2406" i="5"/>
  <c r="X2406" i="5" s="1"/>
  <c r="V2407" i="5"/>
  <c r="E2407" i="5"/>
  <c r="X2407" i="5" s="1"/>
  <c r="V2408" i="5"/>
  <c r="E2408" i="5"/>
  <c r="X2408" i="5" s="1"/>
  <c r="V2409" i="5"/>
  <c r="E2409" i="5"/>
  <c r="X2409" i="5" s="1"/>
  <c r="V2410" i="5"/>
  <c r="E2410" i="5"/>
  <c r="X2410" i="5" s="1"/>
  <c r="V2411" i="5"/>
  <c r="E2411" i="5"/>
  <c r="X2411" i="5" s="1"/>
  <c r="V2412" i="5"/>
  <c r="E2412" i="5"/>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V2424" i="5"/>
  <c r="E2424" i="5"/>
  <c r="X2424" i="5" s="1"/>
  <c r="V2425" i="5"/>
  <c r="E2425" i="5"/>
  <c r="V2426" i="5"/>
  <c r="E2426" i="5"/>
  <c r="X2426" i="5" s="1"/>
  <c r="V2427" i="5"/>
  <c r="E2427" i="5"/>
  <c r="X2427" i="5" s="1"/>
  <c r="V2428" i="5"/>
  <c r="E2428" i="5"/>
  <c r="X2428" i="5" s="1"/>
  <c r="V2429" i="5"/>
  <c r="E2429" i="5"/>
  <c r="X2429" i="5" s="1"/>
  <c r="V2430" i="5"/>
  <c r="E2430" i="5"/>
  <c r="X2430" i="5" s="1"/>
  <c r="V2431" i="5"/>
  <c r="E2431" i="5"/>
  <c r="X2431" i="5" s="1"/>
  <c r="V2432" i="5"/>
  <c r="E2432" i="5"/>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V2463" i="5"/>
  <c r="E2463" i="5"/>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s="1"/>
  <c r="B17" i="6"/>
  <c r="B16" i="6"/>
  <c r="B15" i="6"/>
  <c r="B14" i="6"/>
  <c r="G14" i="6"/>
  <c r="H14" i="6" s="1"/>
  <c r="H13" i="6"/>
  <c r="B12" i="6"/>
  <c r="G12" i="6"/>
  <c r="H12" i="6" s="1"/>
  <c r="D12" i="6" s="1"/>
  <c r="B11" i="6"/>
  <c r="G11" i="6"/>
  <c r="H11" i="6" s="1"/>
  <c r="D11" i="6" s="1"/>
  <c r="G10" i="6"/>
  <c r="H10" i="6"/>
  <c r="D10"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B90" i="4"/>
  <c r="H67" i="4"/>
  <c r="P47" i="4"/>
  <c r="B47" i="4" s="1"/>
  <c r="A32" i="6" s="1"/>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F309" i="5"/>
  <c r="F357" i="5"/>
  <c r="R463" i="5"/>
  <c r="F586" i="5"/>
  <c r="I714" i="5"/>
  <c r="J714" i="5"/>
  <c r="S738" i="5"/>
  <c r="AB170" i="5"/>
  <c r="X452" i="5"/>
  <c r="H452" i="5"/>
  <c r="F452" i="5"/>
  <c r="S1497" i="5"/>
  <c r="R237" i="5"/>
  <c r="F237" i="5"/>
  <c r="J262" i="5"/>
  <c r="AB262" i="5"/>
  <c r="AB298" i="5"/>
  <c r="F451" i="5"/>
  <c r="R453" i="5"/>
  <c r="J453" i="5"/>
  <c r="H453" i="5"/>
  <c r="F453" i="5"/>
  <c r="AB1447" i="5"/>
  <c r="S1447" i="5"/>
  <c r="H167" i="5"/>
  <c r="R167" i="5"/>
  <c r="H187" i="5"/>
  <c r="R187" i="5"/>
  <c r="I187" i="5"/>
  <c r="I275" i="5"/>
  <c r="F275" i="5"/>
  <c r="I361" i="5"/>
  <c r="J361" i="5"/>
  <c r="H361" i="5"/>
  <c r="F361" i="5"/>
  <c r="I479" i="5"/>
  <c r="H479" i="5"/>
  <c r="F574" i="5"/>
  <c r="S641" i="5"/>
  <c r="H171" i="5"/>
  <c r="R171" i="5"/>
  <c r="J171" i="5"/>
  <c r="I194" i="5"/>
  <c r="F468" i="5"/>
  <c r="R562" i="5"/>
  <c r="I1848" i="5"/>
  <c r="H1848" i="5"/>
  <c r="AB166" i="5"/>
  <c r="I198" i="5"/>
  <c r="H198" i="5"/>
  <c r="R201" i="5"/>
  <c r="R245" i="5"/>
  <c r="I461" i="5"/>
  <c r="F461" i="5"/>
  <c r="J552" i="5"/>
  <c r="H552" i="5"/>
  <c r="AB178" i="5"/>
  <c r="R299" i="5"/>
  <c r="J299" i="5"/>
  <c r="X392" i="5"/>
  <c r="I392" i="5"/>
  <c r="H392"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69" i="5"/>
  <c r="R169" i="5"/>
  <c r="H195" i="5"/>
  <c r="F195" i="5"/>
  <c r="R195" i="5"/>
  <c r="I195" i="5"/>
  <c r="J195"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F173" i="5"/>
  <c r="R173" i="5"/>
  <c r="H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203" i="5"/>
  <c r="R203" i="5"/>
  <c r="J203" i="5"/>
  <c r="I203" i="5"/>
  <c r="F203" i="5"/>
  <c r="R249" i="5"/>
  <c r="F249"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X425"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X742" i="5"/>
  <c r="AB322"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F19" i="6"/>
  <c r="AB179" i="5"/>
  <c r="AB201" i="5"/>
  <c r="H234" i="5"/>
  <c r="F234" i="5"/>
  <c r="R234" i="5"/>
  <c r="J234" i="5"/>
  <c r="I234" i="5"/>
  <c r="H254" i="5"/>
  <c r="F254" i="5"/>
  <c r="R254" i="5"/>
  <c r="J254" i="5"/>
  <c r="I254" i="5"/>
  <c r="H286" i="5"/>
  <c r="F286" i="5"/>
  <c r="R286" i="5"/>
  <c r="J286" i="5"/>
  <c r="I286" i="5"/>
  <c r="AB320" i="5"/>
  <c r="AB412" i="5"/>
  <c r="AB169" i="5"/>
  <c r="F178" i="5"/>
  <c r="R178" i="5"/>
  <c r="J178" i="5"/>
  <c r="J181" i="5"/>
  <c r="I181" i="5"/>
  <c r="H181" i="5"/>
  <c r="J209" i="5"/>
  <c r="I209" i="5"/>
  <c r="H209" i="5"/>
  <c r="AB240" i="5"/>
  <c r="H270" i="5"/>
  <c r="F270" i="5"/>
  <c r="R270" i="5"/>
  <c r="J270" i="5"/>
  <c r="I270" i="5"/>
  <c r="R311" i="5"/>
  <c r="H311" i="5"/>
  <c r="I311" i="5"/>
  <c r="F311" i="5"/>
  <c r="J311"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X622"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X1422" i="5"/>
  <c r="J1423" i="5"/>
  <c r="AB1427" i="5"/>
  <c r="J1431" i="5"/>
  <c r="AB1435" i="5"/>
  <c r="J1439" i="5"/>
  <c r="R1448" i="5"/>
  <c r="R1449" i="5"/>
  <c r="F1451" i="5"/>
  <c r="R1451" i="5"/>
  <c r="H1454" i="5"/>
  <c r="X1455" i="5"/>
  <c r="AB1460" i="5"/>
  <c r="AB1461" i="5"/>
  <c r="J1466" i="5"/>
  <c r="I1466" i="5"/>
  <c r="I1467" i="5"/>
  <c r="R1480"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X1565"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J1908" i="5"/>
  <c r="X1912"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X1885"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2" i="5"/>
  <c r="X1992" i="5"/>
  <c r="X203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D5" i="6" s="1"/>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B34" i="6" s="1"/>
  <c r="G34" i="6" s="1"/>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491" i="5"/>
  <c r="S511"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X1272" i="5"/>
  <c r="H2069" i="5"/>
  <c r="J1959" i="5"/>
  <c r="R1959" i="5"/>
  <c r="I678" i="5"/>
  <c r="H678" i="5"/>
  <c r="J987" i="5"/>
  <c r="S606" i="5"/>
  <c r="S610" i="5"/>
  <c r="X363" i="5"/>
  <c r="X322" i="5"/>
  <c r="S598" i="5"/>
  <c r="X542" i="5"/>
  <c r="X165" i="5"/>
  <c r="X503" i="5"/>
  <c r="X483" i="5"/>
  <c r="X482" i="5"/>
  <c r="S532" i="5"/>
  <c r="S356" i="5"/>
  <c r="X233" i="5"/>
  <c r="S343" i="5"/>
  <c r="X333" i="5"/>
  <c r="X335" i="5"/>
  <c r="X282" i="5"/>
  <c r="X162" i="5"/>
  <c r="X325" i="5"/>
  <c r="X182" i="5"/>
  <c r="X202" i="5"/>
  <c r="X315" i="5"/>
  <c r="S315" i="5"/>
  <c r="X253" i="5"/>
  <c r="S357" i="5"/>
  <c r="X383" i="5"/>
  <c r="S383" i="5"/>
  <c r="X313" i="5"/>
  <c r="X242" i="5"/>
  <c r="X345" i="5"/>
  <c r="X285"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I1095" i="5"/>
  <c r="X2213" i="5"/>
  <c r="X163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X2012" i="5"/>
  <c r="X2092"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J1842" i="5"/>
  <c r="H1696" i="5"/>
  <c r="J1086" i="5"/>
  <c r="I524" i="5"/>
  <c r="R439" i="5"/>
  <c r="I293" i="5"/>
  <c r="B41" i="6"/>
  <c r="G41" i="6"/>
  <c r="B31" i="6"/>
  <c r="G3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X712"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31" i="6" s="1"/>
  <c r="B52" i="6"/>
  <c r="G52" i="6" s="1"/>
  <c r="H52" i="6" s="1"/>
  <c r="D52" i="6" s="1"/>
  <c r="B37" i="6"/>
  <c r="G37" i="6"/>
  <c r="H37" i="6" s="1"/>
  <c r="D37" i="6" s="1"/>
  <c r="B42" i="6"/>
  <c r="G42" i="6" s="1"/>
  <c r="B39" i="6"/>
  <c r="G39" i="6"/>
  <c r="F24" i="6"/>
  <c r="F49" i="6" s="1"/>
  <c r="B44" i="6"/>
  <c r="G44" i="6" s="1"/>
  <c r="B49" i="6"/>
  <c r="G49" i="6" s="1"/>
  <c r="G19" i="6"/>
  <c r="H19" i="6"/>
  <c r="F2426" i="5"/>
  <c r="R2426" i="5"/>
  <c r="J2426" i="5"/>
  <c r="I2426" i="5"/>
  <c r="H2426" i="5"/>
  <c r="F2446" i="5"/>
  <c r="H2446" i="5"/>
  <c r="J2446" i="5"/>
  <c r="I2446" i="5"/>
  <c r="R244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s="1"/>
  <c r="H26" i="6" s="1"/>
  <c r="D26" i="6" s="1"/>
  <c r="G21" i="6"/>
  <c r="H21" i="6" s="1"/>
  <c r="D21" i="6" s="1"/>
  <c r="B36" i="6"/>
  <c r="G36" i="6" s="1"/>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F67" i="6"/>
  <c r="F46"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42" i="6"/>
  <c r="F68" i="6"/>
  <c r="F32" i="6"/>
  <c r="F52" i="6"/>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308" i="5"/>
  <c r="R308" i="5"/>
  <c r="H308" i="5"/>
  <c r="F308" i="5"/>
  <c r="I308" i="5"/>
  <c r="J312" i="5"/>
  <c r="F312" i="5"/>
  <c r="R312" i="5"/>
  <c r="I312" i="5"/>
  <c r="H312" i="5"/>
  <c r="J188" i="5"/>
  <c r="H188" i="5"/>
  <c r="F188" i="5"/>
  <c r="R188" i="5"/>
  <c r="I188" i="5"/>
  <c r="R2432" i="5"/>
  <c r="J2432" i="5"/>
  <c r="I2432" i="5"/>
  <c r="H2432" i="5"/>
  <c r="F2432" i="5"/>
  <c r="X2432" i="5"/>
  <c r="I2423" i="5"/>
  <c r="H2423" i="5"/>
  <c r="F2423" i="5"/>
  <c r="X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301" i="5"/>
  <c r="S246" i="5"/>
  <c r="S254" i="5"/>
  <c r="S206" i="5"/>
  <c r="S325" i="5"/>
  <c r="S527" i="5"/>
  <c r="S369" i="5"/>
  <c r="S381" i="5"/>
  <c r="S309" i="5"/>
  <c r="X354" i="5"/>
  <c r="S597" i="5"/>
  <c r="X505" i="5"/>
  <c r="S599" i="5"/>
  <c r="X465" i="5"/>
  <c r="X462" i="5"/>
  <c r="X493" i="5"/>
  <c r="X502" i="5"/>
  <c r="S611" i="5"/>
  <c r="S601" i="5"/>
  <c r="X402" i="5"/>
  <c r="X472" i="5"/>
  <c r="X375" i="5"/>
  <c r="X232" i="5"/>
  <c r="X192" i="5"/>
  <c r="X362" i="5"/>
  <c r="X522" i="5"/>
  <c r="X244" i="5"/>
  <c r="X212" i="5"/>
  <c r="X565" i="5"/>
  <c r="X595" i="5"/>
  <c r="S600" i="5"/>
  <c r="X365" i="5"/>
  <c r="X423" i="5"/>
  <c r="X243" i="5"/>
  <c r="X403" i="5"/>
  <c r="X481" i="5"/>
  <c r="X382" i="5"/>
  <c r="S382" i="5"/>
  <c r="X525" i="5"/>
  <c r="X475" i="5"/>
  <c r="X305" i="5"/>
  <c r="X592" i="5"/>
  <c r="X395" i="5"/>
  <c r="X533" i="5"/>
  <c r="S533" i="5"/>
  <c r="X485" i="5"/>
  <c r="X545" i="5"/>
  <c r="X575" i="5"/>
  <c r="X355" i="5"/>
  <c r="S355" i="5"/>
  <c r="X391" i="5"/>
  <c r="X602" i="5"/>
  <c r="S602" i="5"/>
  <c r="X562" i="5"/>
  <c r="X262" i="5"/>
  <c r="X573" i="5"/>
  <c r="X312" i="5"/>
  <c r="X603" i="5"/>
  <c r="S603" i="5"/>
  <c r="X292" i="5"/>
  <c r="X394" i="5"/>
  <c r="X605" i="5"/>
  <c r="S605" i="5"/>
  <c r="X163" i="5"/>
  <c r="X443" i="5"/>
  <c r="X422" i="5"/>
  <c r="X172" i="5"/>
  <c r="X581" i="5"/>
  <c r="S607" i="5"/>
  <c r="X342" i="5"/>
  <c r="X442" i="5"/>
  <c r="X303" i="5"/>
  <c r="X435" i="5"/>
  <c r="S314" i="5"/>
  <c r="X463" i="5"/>
  <c r="X272" i="5"/>
  <c r="X585" i="5"/>
  <c r="X252" i="5"/>
  <c r="X284" i="5"/>
  <c r="X583" i="5"/>
  <c r="X415" i="5"/>
  <c r="X293" i="5"/>
  <c r="D19" i="6"/>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63" i="5"/>
  <c r="S172" i="5"/>
  <c r="S211" i="5"/>
  <c r="S474" i="5"/>
  <c r="S585" i="5"/>
  <c r="S583" i="5"/>
  <c r="S588" i="5"/>
  <c r="S489" i="5"/>
  <c r="S593" i="5"/>
  <c r="G64" i="6" a="1"/>
  <c r="G20" i="6" l="1"/>
  <c r="H20" i="6" s="1"/>
  <c r="D20" i="6" s="1"/>
  <c r="B35" i="6"/>
  <c r="G35" i="6" s="1"/>
  <c r="H51" i="6"/>
  <c r="D51" i="6" s="1"/>
  <c r="B25" i="6"/>
  <c r="G25" i="6" s="1"/>
  <c r="H25" i="6" s="1"/>
  <c r="H36" i="6"/>
  <c r="D36" i="6" s="1"/>
  <c r="B50" i="6"/>
  <c r="G50" i="6" s="1"/>
  <c r="H47" i="6"/>
  <c r="D47" i="6" s="1"/>
  <c r="H31" i="6"/>
  <c r="D31" i="6" s="1"/>
  <c r="H32" i="6"/>
  <c r="D32" i="6" s="1"/>
  <c r="H42" i="6"/>
  <c r="D42" i="6" s="1"/>
  <c r="B30" i="6"/>
  <c r="G30" i="6" s="1"/>
  <c r="B45" i="6"/>
  <c r="G45" i="6" s="1"/>
  <c r="H49" i="6"/>
  <c r="D49" i="6" s="1"/>
  <c r="H46" i="6"/>
  <c r="D46" i="6" s="1"/>
  <c r="K68" i="6"/>
  <c r="D22" i="6"/>
  <c r="K65" i="6"/>
  <c r="D14" i="6"/>
  <c r="F50" i="6"/>
  <c r="F30" i="6"/>
  <c r="H30" i="6" s="1"/>
  <c r="D30" i="6" s="1"/>
  <c r="F35" i="6"/>
  <c r="F40" i="6"/>
  <c r="F45" i="6"/>
  <c r="F66" i="6"/>
  <c r="D15" i="6"/>
  <c r="K66" i="6"/>
  <c r="K67" i="6"/>
  <c r="D16" i="6"/>
  <c r="H24" i="6"/>
  <c r="D24" i="6" s="1"/>
  <c r="F65" i="6"/>
  <c r="F54" i="6"/>
  <c r="B24" i="6"/>
  <c r="G24" i="6" s="1"/>
  <c r="B40" i="6"/>
  <c r="G40" i="6" s="1"/>
  <c r="C21" i="6"/>
  <c r="F39" i="6"/>
  <c r="H39" i="6" s="1"/>
  <c r="D39" i="6" s="1"/>
  <c r="F34" i="6"/>
  <c r="H34" i="6" s="1"/>
  <c r="D34" i="6" s="1"/>
  <c r="B29" i="6"/>
  <c r="G29" i="6" s="1"/>
  <c r="C52" i="6"/>
  <c r="F44" i="6"/>
  <c r="H44" i="6" s="1"/>
  <c r="D44" i="6" s="1"/>
  <c r="C42" i="6"/>
  <c r="C44" i="6"/>
  <c r="C51" i="6"/>
  <c r="C37" i="6"/>
  <c r="C22" i="6"/>
  <c r="C24" i="6"/>
  <c r="C17" i="6"/>
  <c r="C16" i="6"/>
  <c r="C15" i="6"/>
  <c r="C27" i="6"/>
  <c r="C14" i="6"/>
  <c r="C49" i="6"/>
  <c r="F41" i="6"/>
  <c r="H41" i="6" s="1"/>
  <c r="C19" i="6"/>
  <c r="C20" i="6"/>
  <c r="F29" i="6"/>
  <c r="H29" i="6" s="1"/>
  <c r="D29" i="6" s="1"/>
  <c r="C26" i="6"/>
  <c r="C12" i="6"/>
  <c r="C11" i="6"/>
  <c r="C10" i="6"/>
  <c r="C9" i="6"/>
  <c r="C8" i="6"/>
  <c r="C7" i="6"/>
  <c r="B56" i="4"/>
  <c r="A39" i="6" s="1"/>
  <c r="H6" i="6"/>
  <c r="D6" i="6" s="1"/>
  <c r="C137" i="5"/>
  <c r="C126" i="5"/>
  <c r="C125" i="5"/>
  <c r="C121" i="5"/>
  <c r="C26" i="5"/>
  <c r="C24" i="5"/>
  <c r="C21" i="5"/>
  <c r="C86" i="5"/>
  <c r="C85" i="5"/>
  <c r="C77" i="5"/>
  <c r="C76" i="5"/>
  <c r="C6" i="6"/>
  <c r="C68" i="5"/>
  <c r="C5" i="6"/>
  <c r="C67" i="5"/>
  <c r="C64" i="5"/>
  <c r="C61" i="5"/>
  <c r="B66" i="5"/>
  <c r="C48" i="5"/>
  <c r="B26" i="5"/>
  <c r="C37" i="5"/>
  <c r="B25" i="5"/>
  <c r="C148" i="5"/>
  <c r="C36" i="5"/>
  <c r="C136" i="5"/>
  <c r="C25" i="5"/>
  <c r="C124" i="5"/>
  <c r="C108" i="5"/>
  <c r="C107" i="5"/>
  <c r="C104" i="5"/>
  <c r="C147" i="5"/>
  <c r="C101" i="5"/>
  <c r="C47" i="5"/>
  <c r="B65" i="5"/>
  <c r="C146" i="5"/>
  <c r="C97" i="5"/>
  <c r="C46" i="5"/>
  <c r="B64" i="5"/>
  <c r="C145" i="5"/>
  <c r="C96" i="5"/>
  <c r="C45" i="5"/>
  <c r="B46" i="5"/>
  <c r="C144" i="5"/>
  <c r="C88" i="5"/>
  <c r="C44" i="5"/>
  <c r="B45" i="5"/>
  <c r="C4" i="6"/>
  <c r="C141" i="5"/>
  <c r="C87" i="5"/>
  <c r="C41" i="5"/>
  <c r="B44" i="5"/>
  <c r="C128" i="5"/>
  <c r="C84" i="5"/>
  <c r="C28" i="5"/>
  <c r="B146" i="5"/>
  <c r="B24" i="5"/>
  <c r="C127" i="5"/>
  <c r="C81" i="5"/>
  <c r="C27" i="5"/>
  <c r="B145" i="5"/>
  <c r="C8" i="5"/>
  <c r="B144" i="5"/>
  <c r="B126" i="5"/>
  <c r="B125" i="5"/>
  <c r="B124" i="5"/>
  <c r="C117" i="5"/>
  <c r="C66" i="5"/>
  <c r="C17" i="5"/>
  <c r="B106" i="5"/>
  <c r="C116" i="5"/>
  <c r="C65" i="5"/>
  <c r="C16" i="5"/>
  <c r="B105" i="5"/>
  <c r="B104" i="5"/>
  <c r="B86" i="5"/>
  <c r="C106" i="5"/>
  <c r="C57" i="5"/>
  <c r="B85" i="5"/>
  <c r="C156" i="5"/>
  <c r="C105" i="5"/>
  <c r="C56" i="5"/>
  <c r="B84" i="5"/>
  <c r="B148" i="5"/>
  <c r="B128" i="5"/>
  <c r="B108" i="5"/>
  <c r="B88" i="5"/>
  <c r="B68" i="5"/>
  <c r="B48" i="5"/>
  <c r="B28" i="5"/>
  <c r="B147" i="5"/>
  <c r="B127" i="5"/>
  <c r="B107" i="5"/>
  <c r="B87" i="5"/>
  <c r="B67" i="5"/>
  <c r="B47" i="5"/>
  <c r="B27" i="5"/>
  <c r="C143" i="5"/>
  <c r="C123" i="5"/>
  <c r="C103" i="5"/>
  <c r="C83" i="5"/>
  <c r="C63" i="5"/>
  <c r="C43" i="5"/>
  <c r="C23" i="5"/>
  <c r="B143" i="5"/>
  <c r="B123" i="5"/>
  <c r="B103" i="5"/>
  <c r="B83" i="5"/>
  <c r="B63" i="5"/>
  <c r="B43" i="5"/>
  <c r="B23" i="5"/>
  <c r="C7" i="5"/>
  <c r="C142" i="5"/>
  <c r="C122" i="5"/>
  <c r="C102" i="5"/>
  <c r="C82" i="5"/>
  <c r="C62" i="5"/>
  <c r="C42" i="5"/>
  <c r="C22" i="5"/>
  <c r="B142" i="5"/>
  <c r="B122" i="5"/>
  <c r="B102" i="5"/>
  <c r="B82" i="5"/>
  <c r="B62" i="5"/>
  <c r="B42" i="5"/>
  <c r="B22" i="5"/>
  <c r="B141" i="5"/>
  <c r="B121" i="5"/>
  <c r="B101" i="5"/>
  <c r="B81" i="5"/>
  <c r="B61" i="5"/>
  <c r="B41" i="5"/>
  <c r="B21" i="5"/>
  <c r="C140" i="5"/>
  <c r="C120" i="5"/>
  <c r="C100" i="5"/>
  <c r="C80" i="5"/>
  <c r="C60" i="5"/>
  <c r="C40" i="5"/>
  <c r="C20" i="5"/>
  <c r="B140" i="5"/>
  <c r="B120" i="5"/>
  <c r="B100" i="5"/>
  <c r="B80" i="5"/>
  <c r="B60" i="5"/>
  <c r="B40" i="5"/>
  <c r="B20" i="5"/>
  <c r="C6" i="5"/>
  <c r="C139" i="5"/>
  <c r="C119" i="5"/>
  <c r="C99" i="5"/>
  <c r="C79" i="5"/>
  <c r="C59" i="5"/>
  <c r="C39" i="5"/>
  <c r="C19" i="5"/>
  <c r="B139" i="5"/>
  <c r="B119" i="5"/>
  <c r="B99" i="5"/>
  <c r="B79" i="5"/>
  <c r="B59" i="5"/>
  <c r="B39" i="5"/>
  <c r="B19" i="5"/>
  <c r="C5" i="5"/>
  <c r="C138" i="5"/>
  <c r="C118" i="5"/>
  <c r="C98" i="5"/>
  <c r="C78" i="5"/>
  <c r="C58" i="5"/>
  <c r="C38" i="5"/>
  <c r="C18" i="5"/>
  <c r="B138" i="5"/>
  <c r="B118" i="5"/>
  <c r="B98" i="5"/>
  <c r="B78" i="5"/>
  <c r="B58" i="5"/>
  <c r="B38" i="5"/>
  <c r="B18" i="5"/>
  <c r="B8" i="5"/>
  <c r="B137" i="5"/>
  <c r="B117" i="5"/>
  <c r="B97" i="5"/>
  <c r="B77" i="5"/>
  <c r="B57" i="5"/>
  <c r="B37" i="5"/>
  <c r="B17" i="5"/>
  <c r="B7" i="5"/>
  <c r="B156" i="5"/>
  <c r="B136" i="5"/>
  <c r="B116" i="5"/>
  <c r="B96" i="5"/>
  <c r="B76" i="5"/>
  <c r="B56" i="5"/>
  <c r="B36" i="5"/>
  <c r="B16" i="5"/>
  <c r="B6" i="5"/>
  <c r="C155" i="5"/>
  <c r="C135" i="5"/>
  <c r="C115" i="5"/>
  <c r="C95" i="5"/>
  <c r="C75" i="5"/>
  <c r="C55" i="5"/>
  <c r="C35" i="5"/>
  <c r="C15" i="5"/>
  <c r="B155" i="5"/>
  <c r="B135" i="5"/>
  <c r="B115" i="5"/>
  <c r="B95" i="5"/>
  <c r="B75" i="5"/>
  <c r="B55" i="5"/>
  <c r="B35" i="5"/>
  <c r="B15" i="5"/>
  <c r="C154" i="5"/>
  <c r="C134" i="5"/>
  <c r="C114" i="5"/>
  <c r="C94" i="5"/>
  <c r="C74" i="5"/>
  <c r="C54" i="5"/>
  <c r="C34" i="5"/>
  <c r="C14" i="5"/>
  <c r="B154" i="5"/>
  <c r="B134" i="5"/>
  <c r="B114" i="5"/>
  <c r="B94" i="5"/>
  <c r="B74" i="5"/>
  <c r="B54" i="5"/>
  <c r="B34" i="5"/>
  <c r="B14" i="5"/>
  <c r="C153" i="5"/>
  <c r="C133" i="5"/>
  <c r="C113" i="5"/>
  <c r="C93" i="5"/>
  <c r="C73" i="5"/>
  <c r="C53" i="5"/>
  <c r="C33" i="5"/>
  <c r="C13" i="5"/>
  <c r="B153" i="5"/>
  <c r="B133" i="5"/>
  <c r="B113" i="5"/>
  <c r="B93" i="5"/>
  <c r="B73" i="5"/>
  <c r="B53" i="5"/>
  <c r="B33" i="5"/>
  <c r="B13" i="5"/>
  <c r="B5" i="5"/>
  <c r="C152" i="5"/>
  <c r="C132" i="5"/>
  <c r="C112" i="5"/>
  <c r="C92" i="5"/>
  <c r="C72" i="5"/>
  <c r="C52" i="5"/>
  <c r="C32" i="5"/>
  <c r="C12" i="5"/>
  <c r="B152" i="5"/>
  <c r="B132" i="5"/>
  <c r="B112" i="5"/>
  <c r="B92" i="5"/>
  <c r="B72" i="5"/>
  <c r="B52" i="5"/>
  <c r="B32" i="5"/>
  <c r="B12" i="5"/>
  <c r="C151" i="5"/>
  <c r="C131" i="5"/>
  <c r="C111" i="5"/>
  <c r="C91" i="5"/>
  <c r="C71" i="5"/>
  <c r="C51" i="5"/>
  <c r="C31" i="5"/>
  <c r="C11" i="5"/>
  <c r="B151" i="5"/>
  <c r="B131" i="5"/>
  <c r="B111" i="5"/>
  <c r="B91" i="5"/>
  <c r="B71" i="5"/>
  <c r="B51" i="5"/>
  <c r="B31" i="5"/>
  <c r="B11" i="5"/>
  <c r="C150" i="5"/>
  <c r="C130" i="5"/>
  <c r="C110" i="5"/>
  <c r="C90" i="5"/>
  <c r="C70" i="5"/>
  <c r="C50" i="5"/>
  <c r="C30" i="5"/>
  <c r="C10" i="5"/>
  <c r="B150" i="5"/>
  <c r="B130" i="5"/>
  <c r="B110" i="5"/>
  <c r="B90" i="5"/>
  <c r="B70" i="5"/>
  <c r="B50" i="5"/>
  <c r="B30" i="5"/>
  <c r="B10" i="5"/>
  <c r="C149" i="5"/>
  <c r="C129" i="5"/>
  <c r="C109" i="5"/>
  <c r="C89" i="5"/>
  <c r="C69" i="5"/>
  <c r="C49" i="5"/>
  <c r="C29" i="5"/>
  <c r="C9" i="5"/>
  <c r="B149" i="5"/>
  <c r="B129" i="5"/>
  <c r="B109" i="5"/>
  <c r="B89" i="5"/>
  <c r="B69" i="5"/>
  <c r="B49" i="5"/>
  <c r="B29" i="5"/>
  <c r="D67" i="4"/>
  <c r="D55" i="4"/>
  <c r="B35" i="4"/>
  <c r="A22" i="6" s="1"/>
  <c r="B65" i="4"/>
  <c r="A47" i="6" s="1"/>
  <c r="D31" i="4"/>
  <c r="D49" i="4"/>
  <c r="B63" i="4"/>
  <c r="A45" i="6" s="1"/>
  <c r="D43" i="4"/>
  <c r="B69" i="4"/>
  <c r="A50" i="6" s="1"/>
  <c r="D61" i="4"/>
  <c r="B57" i="4"/>
  <c r="A40" i="6" s="1"/>
  <c r="D74" i="4"/>
  <c r="A25" i="6"/>
  <c r="B50" i="4"/>
  <c r="A34" i="6" s="1"/>
  <c r="B62" i="4"/>
  <c r="A44" i="6" s="1"/>
  <c r="B68" i="4"/>
  <c r="A49" i="6" s="1"/>
  <c r="A26" i="6"/>
  <c r="B70" i="4"/>
  <c r="A51" i="6" s="1"/>
  <c r="B52" i="4"/>
  <c r="A36" i="6" s="1"/>
  <c r="B64" i="4"/>
  <c r="A46" i="6" s="1"/>
  <c r="B58" i="4"/>
  <c r="A41" i="6" s="1"/>
  <c r="A16" i="6"/>
  <c r="G67" i="4"/>
  <c r="G64" i="6"/>
  <c r="G49" i="4"/>
  <c r="G31" i="4"/>
  <c r="B53" i="4"/>
  <c r="A37" i="6" s="1"/>
  <c r="G61" i="4"/>
  <c r="A27" i="6"/>
  <c r="B33" i="4"/>
  <c r="A20" i="6" s="1"/>
  <c r="B32" i="4"/>
  <c r="A19" i="6" s="1"/>
  <c r="G55" i="4"/>
  <c r="B59" i="4"/>
  <c r="A42" i="6" s="1"/>
  <c r="G74" i="4"/>
  <c r="G37" i="4"/>
  <c r="C46" i="6" l="1"/>
  <c r="AB146" i="5"/>
  <c r="C36" i="6"/>
  <c r="H35" i="6"/>
  <c r="D35" i="6" s="1"/>
  <c r="V81" i="5"/>
  <c r="E81" i="5" s="1"/>
  <c r="X81" i="5" s="1"/>
  <c r="H50" i="6"/>
  <c r="C30" i="6"/>
  <c r="C31" i="6"/>
  <c r="C32" i="6"/>
  <c r="H45" i="6"/>
  <c r="C47" i="6"/>
  <c r="H40" i="6"/>
  <c r="D40" i="6" s="1"/>
  <c r="B2" i="6"/>
  <c r="C2" i="6"/>
  <c r="AB26" i="5"/>
  <c r="F55" i="6"/>
  <c r="H54" i="6"/>
  <c r="F62" i="6"/>
  <c r="H62" i="6" s="1"/>
  <c r="F58" i="6"/>
  <c r="H58" i="6" s="1"/>
  <c r="F60" i="6"/>
  <c r="H60" i="6" s="1"/>
  <c r="F63" i="6"/>
  <c r="H63" i="6" s="1"/>
  <c r="F59" i="6"/>
  <c r="H59" i="6" s="1"/>
  <c r="F57" i="6"/>
  <c r="H57" i="6" s="1"/>
  <c r="C25" i="6"/>
  <c r="D25" i="6"/>
  <c r="AB44" i="5"/>
  <c r="C39" i="6"/>
  <c r="C41" i="6"/>
  <c r="D41" i="6"/>
  <c r="C29" i="6"/>
  <c r="C34" i="6"/>
  <c r="AB45" i="5"/>
  <c r="V85" i="5"/>
  <c r="I85" i="5" s="1"/>
  <c r="V25" i="5"/>
  <c r="F25" i="5" s="1"/>
  <c r="V126" i="5"/>
  <c r="F126" i="5" s="1"/>
  <c r="V106" i="5"/>
  <c r="E106" i="5" s="1"/>
  <c r="V64" i="5"/>
  <c r="G64" i="5" s="1"/>
  <c r="V86" i="5"/>
  <c r="R86" i="5" s="1"/>
  <c r="V21" i="5"/>
  <c r="E21" i="5" s="1"/>
  <c r="X21" i="5" s="1"/>
  <c r="AB104" i="5"/>
  <c r="V84" i="5"/>
  <c r="E84" i="5" s="1"/>
  <c r="V24" i="5"/>
  <c r="G24" i="5" s="1"/>
  <c r="AB24" i="5"/>
  <c r="AB144" i="5"/>
  <c r="V26" i="5"/>
  <c r="F26" i="5" s="1"/>
  <c r="AB85" i="5"/>
  <c r="V124" i="5"/>
  <c r="G124" i="5" s="1"/>
  <c r="V44" i="5"/>
  <c r="G44" i="5" s="1"/>
  <c r="AB86" i="5"/>
  <c r="AB84" i="5"/>
  <c r="V105" i="5"/>
  <c r="H105" i="5" s="1"/>
  <c r="V145" i="5"/>
  <c r="F145" i="5" s="1"/>
  <c r="V144" i="5"/>
  <c r="G144" i="5" s="1"/>
  <c r="V8" i="5"/>
  <c r="G8" i="5" s="1"/>
  <c r="V45" i="5"/>
  <c r="G45" i="5" s="1"/>
  <c r="AB25" i="5"/>
  <c r="AB64" i="5"/>
  <c r="V146" i="5"/>
  <c r="F146" i="5" s="1"/>
  <c r="AB105" i="5"/>
  <c r="V101" i="5"/>
  <c r="J101" i="5" s="1"/>
  <c r="AB66" i="5"/>
  <c r="V66" i="5"/>
  <c r="G66" i="5" s="1"/>
  <c r="AB124" i="5"/>
  <c r="AB125" i="5"/>
  <c r="V125" i="5"/>
  <c r="AB46" i="5"/>
  <c r="V104" i="5"/>
  <c r="G104" i="5" s="1"/>
  <c r="AB145" i="5"/>
  <c r="V46" i="5"/>
  <c r="AB126" i="5"/>
  <c r="AB65" i="5"/>
  <c r="V65" i="5"/>
  <c r="G65" i="5" s="1"/>
  <c r="AB106" i="5"/>
  <c r="AB94" i="5"/>
  <c r="V57" i="5"/>
  <c r="AB57" i="5"/>
  <c r="V5" i="5"/>
  <c r="G5" i="5" s="1"/>
  <c r="AB100" i="5"/>
  <c r="AB82" i="5"/>
  <c r="V43" i="5"/>
  <c r="G43" i="5" s="1"/>
  <c r="V35" i="5"/>
  <c r="V77" i="5"/>
  <c r="AB77" i="5"/>
  <c r="AB19" i="5"/>
  <c r="AB120" i="5"/>
  <c r="AB102" i="5"/>
  <c r="V63" i="5"/>
  <c r="G63" i="5" s="1"/>
  <c r="V131" i="5"/>
  <c r="G131" i="5" s="1"/>
  <c r="AB114" i="5"/>
  <c r="AB149" i="5"/>
  <c r="V70" i="5"/>
  <c r="G70" i="5" s="1"/>
  <c r="V151" i="5"/>
  <c r="G151" i="5" s="1"/>
  <c r="AB53" i="5"/>
  <c r="AB134" i="5"/>
  <c r="V55" i="5"/>
  <c r="V97" i="5"/>
  <c r="AB97" i="5"/>
  <c r="AB39" i="5"/>
  <c r="AB140" i="5"/>
  <c r="AB122" i="5"/>
  <c r="V83" i="5"/>
  <c r="G83" i="5" s="1"/>
  <c r="V49" i="5"/>
  <c r="G49" i="5" s="1"/>
  <c r="V130" i="5"/>
  <c r="G130" i="5" s="1"/>
  <c r="AB52" i="5"/>
  <c r="AB113" i="5"/>
  <c r="V34" i="5"/>
  <c r="G34" i="5" s="1"/>
  <c r="V115" i="5"/>
  <c r="G115" i="5" s="1"/>
  <c r="AB8" i="5"/>
  <c r="G66" i="6" s="1"/>
  <c r="H66" i="6" s="1"/>
  <c r="AB99" i="5"/>
  <c r="V60" i="5"/>
  <c r="G60" i="5" s="1"/>
  <c r="V42" i="5"/>
  <c r="G42" i="5" s="1"/>
  <c r="V143" i="5"/>
  <c r="V40" i="5"/>
  <c r="G40" i="5" s="1"/>
  <c r="V22" i="5"/>
  <c r="G22" i="5" s="1"/>
  <c r="V123" i="5"/>
  <c r="G123" i="5" s="1"/>
  <c r="V69" i="5"/>
  <c r="G69" i="5" s="1"/>
  <c r="V150" i="5"/>
  <c r="G150" i="5" s="1"/>
  <c r="AB72" i="5"/>
  <c r="AB133" i="5"/>
  <c r="V54" i="5"/>
  <c r="G54" i="5" s="1"/>
  <c r="V135" i="5"/>
  <c r="AB18" i="5"/>
  <c r="AB119" i="5"/>
  <c r="V80" i="5"/>
  <c r="G80" i="5" s="1"/>
  <c r="V62" i="5"/>
  <c r="G62" i="5" s="1"/>
  <c r="AB27" i="5"/>
  <c r="V27" i="5"/>
  <c r="V155" i="5"/>
  <c r="G155" i="5" s="1"/>
  <c r="AB38" i="5"/>
  <c r="AB139" i="5"/>
  <c r="V100" i="5"/>
  <c r="G100" i="5" s="1"/>
  <c r="V82" i="5"/>
  <c r="G82" i="5" s="1"/>
  <c r="V47" i="5"/>
  <c r="AB47" i="5"/>
  <c r="V103" i="5"/>
  <c r="AB137" i="5"/>
  <c r="V137" i="5"/>
  <c r="AB79" i="5"/>
  <c r="AB11" i="5"/>
  <c r="AB92" i="5"/>
  <c r="V74" i="5"/>
  <c r="AB112" i="5"/>
  <c r="V94" i="5"/>
  <c r="AB6" i="5"/>
  <c r="V19" i="5"/>
  <c r="G19" i="5" s="1"/>
  <c r="V120" i="5"/>
  <c r="G120" i="5" s="1"/>
  <c r="V102" i="5"/>
  <c r="G102" i="5" s="1"/>
  <c r="AB67" i="5"/>
  <c r="V67" i="5"/>
  <c r="V89" i="5"/>
  <c r="G89" i="5" s="1"/>
  <c r="AB153" i="5"/>
  <c r="V109" i="5"/>
  <c r="G109" i="5" s="1"/>
  <c r="AB31" i="5"/>
  <c r="V13" i="5"/>
  <c r="G13" i="5" s="1"/>
  <c r="AB58" i="5"/>
  <c r="V129" i="5"/>
  <c r="G129" i="5" s="1"/>
  <c r="AB51" i="5"/>
  <c r="AB132" i="5"/>
  <c r="V33" i="5"/>
  <c r="G33" i="5" s="1"/>
  <c r="V114" i="5"/>
  <c r="G114" i="5" s="1"/>
  <c r="V140" i="5"/>
  <c r="G140" i="5" s="1"/>
  <c r="AB87" i="5"/>
  <c r="V87" i="5"/>
  <c r="AB16" i="5"/>
  <c r="V16" i="5"/>
  <c r="AB78" i="5"/>
  <c r="V39" i="5"/>
  <c r="G39" i="5" s="1"/>
  <c r="V122" i="5"/>
  <c r="G122" i="5" s="1"/>
  <c r="V149" i="5"/>
  <c r="G149" i="5" s="1"/>
  <c r="AB71" i="5"/>
  <c r="AB152" i="5"/>
  <c r="V53" i="5"/>
  <c r="V134" i="5"/>
  <c r="G134" i="5" s="1"/>
  <c r="V36" i="5"/>
  <c r="AB36" i="5"/>
  <c r="AB98" i="5"/>
  <c r="V59" i="5"/>
  <c r="G59" i="5" s="1"/>
  <c r="AB21" i="5"/>
  <c r="V142" i="5"/>
  <c r="G142" i="5" s="1"/>
  <c r="AB107" i="5"/>
  <c r="V107" i="5"/>
  <c r="V154" i="5"/>
  <c r="G154" i="5" s="1"/>
  <c r="V56" i="5"/>
  <c r="AB56" i="5"/>
  <c r="AB118" i="5"/>
  <c r="V79" i="5"/>
  <c r="G79" i="5" s="1"/>
  <c r="AB41" i="5"/>
  <c r="V7" i="5"/>
  <c r="G7" i="5" s="1"/>
  <c r="V127" i="5"/>
  <c r="AB127" i="5"/>
  <c r="V32" i="5"/>
  <c r="G32" i="5" s="1"/>
  <c r="V93" i="5"/>
  <c r="AB15" i="5"/>
  <c r="AB76" i="5"/>
  <c r="V76" i="5"/>
  <c r="V99" i="5"/>
  <c r="G99" i="5" s="1"/>
  <c r="AB23" i="5"/>
  <c r="V29" i="5"/>
  <c r="G29" i="5" s="1"/>
  <c r="AB32" i="5"/>
  <c r="AB93" i="5"/>
  <c r="V95" i="5"/>
  <c r="G95" i="5" s="1"/>
  <c r="AB138" i="5"/>
  <c r="AB61" i="5"/>
  <c r="AB147" i="5"/>
  <c r="V147" i="5"/>
  <c r="AB50" i="5"/>
  <c r="AB131" i="5"/>
  <c r="V52" i="5"/>
  <c r="G52" i="5" s="1"/>
  <c r="V113" i="5"/>
  <c r="AB35" i="5"/>
  <c r="V96" i="5"/>
  <c r="AB96" i="5"/>
  <c r="V18" i="5"/>
  <c r="G18" i="5" s="1"/>
  <c r="V119" i="5"/>
  <c r="G119" i="5" s="1"/>
  <c r="AB81" i="5"/>
  <c r="AB43" i="5"/>
  <c r="V28" i="5"/>
  <c r="AB28" i="5"/>
  <c r="V110" i="5"/>
  <c r="G110" i="5" s="1"/>
  <c r="V14" i="5"/>
  <c r="G14" i="5" s="1"/>
  <c r="AB10" i="5"/>
  <c r="AB91" i="5"/>
  <c r="V12" i="5"/>
  <c r="G12" i="5" s="1"/>
  <c r="V73" i="5"/>
  <c r="AB30" i="5"/>
  <c r="AB111" i="5"/>
  <c r="AB70" i="5"/>
  <c r="AB151" i="5"/>
  <c r="V72" i="5"/>
  <c r="G72" i="5" s="1"/>
  <c r="V133" i="5"/>
  <c r="G133" i="5" s="1"/>
  <c r="V116" i="5"/>
  <c r="AB116" i="5"/>
  <c r="V139" i="5"/>
  <c r="G139" i="5" s="1"/>
  <c r="AB109" i="5"/>
  <c r="V30" i="5"/>
  <c r="G30" i="5" s="1"/>
  <c r="V111" i="5"/>
  <c r="G111" i="5" s="1"/>
  <c r="AB13" i="5"/>
  <c r="V15" i="5"/>
  <c r="AB129" i="5"/>
  <c r="V50" i="5"/>
  <c r="AB33" i="5"/>
  <c r="V9" i="5"/>
  <c r="G9" i="5" s="1"/>
  <c r="AB9" i="5"/>
  <c r="V90" i="5"/>
  <c r="G90" i="5" s="1"/>
  <c r="AB12" i="5"/>
  <c r="AB73" i="5"/>
  <c r="AB154" i="5"/>
  <c r="V75" i="5"/>
  <c r="AB117" i="5"/>
  <c r="V117" i="5"/>
  <c r="AB101" i="5"/>
  <c r="AB63" i="5"/>
  <c r="AB48" i="5"/>
  <c r="V48" i="5"/>
  <c r="AB90" i="5"/>
  <c r="V11" i="5"/>
  <c r="G11" i="5" s="1"/>
  <c r="V92" i="5"/>
  <c r="G92" i="5" s="1"/>
  <c r="V153" i="5"/>
  <c r="AB75" i="5"/>
  <c r="V136" i="5"/>
  <c r="AB136" i="5"/>
  <c r="V58" i="5"/>
  <c r="G58" i="5" s="1"/>
  <c r="V6" i="5"/>
  <c r="G6" i="5" s="1"/>
  <c r="AB121" i="5"/>
  <c r="AB83" i="5"/>
  <c r="V68" i="5"/>
  <c r="AB68" i="5"/>
  <c r="V121" i="5"/>
  <c r="AB55" i="5"/>
  <c r="V38" i="5"/>
  <c r="G38" i="5" s="1"/>
  <c r="AB29" i="5"/>
  <c r="AB110" i="5"/>
  <c r="V31" i="5"/>
  <c r="G31" i="5" s="1"/>
  <c r="V112" i="5"/>
  <c r="G112" i="5" s="1"/>
  <c r="AB14" i="5"/>
  <c r="AB95" i="5"/>
  <c r="AB156" i="5"/>
  <c r="V156" i="5"/>
  <c r="V78" i="5"/>
  <c r="G78" i="5" s="1"/>
  <c r="AB20" i="5"/>
  <c r="AB141" i="5"/>
  <c r="AB103" i="5"/>
  <c r="V88" i="5"/>
  <c r="AB88" i="5"/>
  <c r="AB59" i="5"/>
  <c r="V20" i="5"/>
  <c r="G20" i="5" s="1"/>
  <c r="AB142" i="5"/>
  <c r="AB49" i="5"/>
  <c r="AB130" i="5"/>
  <c r="V51" i="5"/>
  <c r="G51" i="5" s="1"/>
  <c r="V132" i="5"/>
  <c r="G132" i="5" s="1"/>
  <c r="AB34" i="5"/>
  <c r="AB115" i="5"/>
  <c r="AB7" i="5"/>
  <c r="AB40" i="5"/>
  <c r="AB22" i="5"/>
  <c r="AB123" i="5"/>
  <c r="AB108" i="5"/>
  <c r="V108" i="5"/>
  <c r="AB69" i="5"/>
  <c r="AB150" i="5"/>
  <c r="V71" i="5"/>
  <c r="G71" i="5" s="1"/>
  <c r="V152" i="5"/>
  <c r="G152" i="5" s="1"/>
  <c r="AB54" i="5"/>
  <c r="AB135" i="5"/>
  <c r="AB17" i="5"/>
  <c r="V17" i="5"/>
  <c r="V118" i="5"/>
  <c r="AB60" i="5"/>
  <c r="AB42" i="5"/>
  <c r="AB143" i="5"/>
  <c r="AB128" i="5"/>
  <c r="V128" i="5"/>
  <c r="V61" i="5"/>
  <c r="V41" i="5"/>
  <c r="V98" i="5"/>
  <c r="G98" i="5" s="1"/>
  <c r="F69" i="6"/>
  <c r="AB89" i="5"/>
  <c r="V10" i="5"/>
  <c r="V91" i="5"/>
  <c r="G91" i="5" s="1"/>
  <c r="AB5" i="5"/>
  <c r="G67" i="6" s="1"/>
  <c r="H67" i="6" s="1"/>
  <c r="AB74" i="5"/>
  <c r="AB155" i="5"/>
  <c r="V37" i="5"/>
  <c r="AB37" i="5"/>
  <c r="V138" i="5"/>
  <c r="AB80" i="5"/>
  <c r="AB62" i="5"/>
  <c r="V23" i="5"/>
  <c r="G23" i="5" s="1"/>
  <c r="V148" i="5"/>
  <c r="AB148" i="5"/>
  <c r="R81" i="5"/>
  <c r="I81" i="5"/>
  <c r="F81" i="5"/>
  <c r="J81" i="5"/>
  <c r="V141" i="5"/>
  <c r="B64" i="6"/>
  <c r="H64" i="6"/>
  <c r="S106" i="5"/>
  <c r="G86" i="5" l="1"/>
  <c r="H81" i="5"/>
  <c r="C35" i="6"/>
  <c r="G81" i="5"/>
  <c r="R21" i="5"/>
  <c r="I86" i="5"/>
  <c r="F86" i="5"/>
  <c r="J21" i="5"/>
  <c r="H145" i="5"/>
  <c r="R85" i="5"/>
  <c r="J85" i="5"/>
  <c r="R144" i="5"/>
  <c r="F21" i="5"/>
  <c r="J84" i="5"/>
  <c r="G145" i="5"/>
  <c r="F106" i="5"/>
  <c r="D45" i="6"/>
  <c r="C45" i="6"/>
  <c r="C40" i="6"/>
  <c r="D50" i="6"/>
  <c r="C50" i="6"/>
  <c r="I84" i="5"/>
  <c r="F84" i="5"/>
  <c r="H84" i="5"/>
  <c r="G85" i="5"/>
  <c r="E85" i="5"/>
  <c r="G84" i="5"/>
  <c r="H85" i="5"/>
  <c r="F85" i="5"/>
  <c r="E145" i="5"/>
  <c r="X145" i="5" s="1"/>
  <c r="J45" i="5"/>
  <c r="I45" i="5"/>
  <c r="R106" i="5"/>
  <c r="I24" i="5"/>
  <c r="G25" i="5"/>
  <c r="H25" i="5"/>
  <c r="I25" i="5"/>
  <c r="F64" i="5"/>
  <c r="D57" i="6"/>
  <c r="C57" i="6"/>
  <c r="J64" i="5"/>
  <c r="D59" i="6"/>
  <c r="C59" i="6"/>
  <c r="E64" i="5"/>
  <c r="X64" i="5" s="1"/>
  <c r="D63" i="6"/>
  <c r="C63" i="6"/>
  <c r="J106" i="5"/>
  <c r="D60" i="6"/>
  <c r="C60" i="6"/>
  <c r="D58" i="6"/>
  <c r="C58" i="6"/>
  <c r="D62" i="6"/>
  <c r="C62" i="6"/>
  <c r="D54" i="6"/>
  <c r="C54" i="6"/>
  <c r="F56" i="6"/>
  <c r="H56" i="6" s="1"/>
  <c r="H55" i="6"/>
  <c r="R84" i="5"/>
  <c r="H21" i="5"/>
  <c r="E25" i="5"/>
  <c r="X25" i="5" s="1"/>
  <c r="R25" i="5"/>
  <c r="H8" i="5"/>
  <c r="F144" i="5"/>
  <c r="F45" i="5"/>
  <c r="F8" i="5"/>
  <c r="G106" i="5"/>
  <c r="J25" i="5"/>
  <c r="I8" i="5"/>
  <c r="R8" i="5"/>
  <c r="E45" i="5"/>
  <c r="X45" i="5" s="1"/>
  <c r="E8" i="5"/>
  <c r="X8" i="5" s="1"/>
  <c r="E126" i="5"/>
  <c r="I106" i="5"/>
  <c r="R126" i="5"/>
  <c r="I126" i="5"/>
  <c r="H86" i="5"/>
  <c r="H106" i="5"/>
  <c r="I21" i="5"/>
  <c r="I44" i="5"/>
  <c r="J86" i="5"/>
  <c r="H64" i="5"/>
  <c r="R24" i="5"/>
  <c r="R64" i="5"/>
  <c r="H144" i="5"/>
  <c r="G21" i="5"/>
  <c r="R104" i="5"/>
  <c r="H126" i="5"/>
  <c r="J8" i="5"/>
  <c r="I144" i="5"/>
  <c r="E104" i="5"/>
  <c r="X104" i="5" s="1"/>
  <c r="G126" i="5"/>
  <c r="J126" i="5"/>
  <c r="E86" i="5"/>
  <c r="X86" i="5" s="1"/>
  <c r="I64" i="5"/>
  <c r="F24" i="5"/>
  <c r="J24" i="5"/>
  <c r="H24" i="5"/>
  <c r="E24" i="5"/>
  <c r="X24" i="5" s="1"/>
  <c r="R124" i="5"/>
  <c r="F44" i="5"/>
  <c r="H44" i="5"/>
  <c r="E26" i="5"/>
  <c r="R45" i="5"/>
  <c r="J44" i="5"/>
  <c r="I26" i="5"/>
  <c r="I124" i="5"/>
  <c r="F124" i="5"/>
  <c r="R105" i="5"/>
  <c r="H124" i="5"/>
  <c r="G26" i="5"/>
  <c r="F105" i="5"/>
  <c r="J124" i="5"/>
  <c r="E105" i="5"/>
  <c r="X105" i="5" s="1"/>
  <c r="E124" i="5"/>
  <c r="X124" i="5" s="1"/>
  <c r="I105" i="5"/>
  <c r="J26" i="5"/>
  <c r="I104" i="5"/>
  <c r="R26" i="5"/>
  <c r="H26" i="5"/>
  <c r="F104" i="5"/>
  <c r="R44" i="5"/>
  <c r="J104" i="5"/>
  <c r="R145" i="5"/>
  <c r="G105" i="5"/>
  <c r="J146" i="5"/>
  <c r="J105" i="5"/>
  <c r="R146" i="5"/>
  <c r="H45" i="5"/>
  <c r="E144" i="5"/>
  <c r="X144" i="5" s="1"/>
  <c r="I145" i="5"/>
  <c r="J144" i="5"/>
  <c r="J145" i="5"/>
  <c r="E44" i="5"/>
  <c r="X44" i="5" s="1"/>
  <c r="R101" i="5"/>
  <c r="F101" i="5"/>
  <c r="H101" i="5"/>
  <c r="G101" i="5"/>
  <c r="E101" i="5"/>
  <c r="H104" i="5"/>
  <c r="H146" i="5"/>
  <c r="E146" i="5"/>
  <c r="G146" i="5"/>
  <c r="I146" i="5"/>
  <c r="I101" i="5"/>
  <c r="E125" i="5"/>
  <c r="F125" i="5"/>
  <c r="J125" i="5"/>
  <c r="I125" i="5"/>
  <c r="H125" i="5"/>
  <c r="R125" i="5"/>
  <c r="G125" i="5"/>
  <c r="F65" i="5"/>
  <c r="J65" i="5"/>
  <c r="H65" i="5"/>
  <c r="R65" i="5"/>
  <c r="E65" i="5"/>
  <c r="I65" i="5"/>
  <c r="I66" i="5"/>
  <c r="R66" i="5"/>
  <c r="F66" i="5"/>
  <c r="J66" i="5"/>
  <c r="H66" i="5"/>
  <c r="E66" i="5"/>
  <c r="I46" i="5"/>
  <c r="H46" i="5"/>
  <c r="R46" i="5"/>
  <c r="F46" i="5"/>
  <c r="J46" i="5"/>
  <c r="E46" i="5"/>
  <c r="G46" i="5"/>
  <c r="X106" i="5"/>
  <c r="G68" i="6"/>
  <c r="H68" i="6" s="1"/>
  <c r="C68" i="6" s="1"/>
  <c r="G65" i="6"/>
  <c r="H65" i="6" s="1"/>
  <c r="D65" i="6" s="1"/>
  <c r="E108" i="5"/>
  <c r="H108" i="5"/>
  <c r="J108" i="5"/>
  <c r="F108" i="5"/>
  <c r="I108" i="5"/>
  <c r="R108" i="5"/>
  <c r="G108" i="5"/>
  <c r="E50" i="5"/>
  <c r="I50" i="5"/>
  <c r="R50" i="5"/>
  <c r="H50" i="5"/>
  <c r="F50" i="5"/>
  <c r="J50" i="5"/>
  <c r="E12" i="5"/>
  <c r="I12" i="5"/>
  <c r="J12" i="5"/>
  <c r="R12" i="5"/>
  <c r="H12" i="5"/>
  <c r="F12" i="5"/>
  <c r="F99" i="5"/>
  <c r="E99" i="5"/>
  <c r="H99" i="5"/>
  <c r="R99" i="5"/>
  <c r="J99" i="5"/>
  <c r="I99" i="5"/>
  <c r="E103" i="5"/>
  <c r="F103" i="5"/>
  <c r="I103" i="5"/>
  <c r="H103" i="5"/>
  <c r="J103" i="5"/>
  <c r="R103" i="5"/>
  <c r="X84" i="5"/>
  <c r="J143" i="5"/>
  <c r="E143" i="5"/>
  <c r="I143" i="5"/>
  <c r="H143" i="5"/>
  <c r="R143" i="5"/>
  <c r="F143" i="5"/>
  <c r="R37" i="5"/>
  <c r="F37" i="5"/>
  <c r="G37" i="5"/>
  <c r="E37" i="5"/>
  <c r="J37" i="5"/>
  <c r="H37" i="5"/>
  <c r="I37" i="5"/>
  <c r="E78" i="5"/>
  <c r="H78" i="5"/>
  <c r="R78" i="5"/>
  <c r="F78" i="5"/>
  <c r="J78" i="5"/>
  <c r="I78" i="5"/>
  <c r="J6" i="5"/>
  <c r="E6" i="5"/>
  <c r="R6" i="5"/>
  <c r="H6" i="5"/>
  <c r="F6" i="5"/>
  <c r="I6" i="5"/>
  <c r="F76" i="5"/>
  <c r="G76" i="5"/>
  <c r="J76" i="5"/>
  <c r="H76" i="5"/>
  <c r="I76" i="5"/>
  <c r="R76" i="5"/>
  <c r="E76" i="5"/>
  <c r="F54" i="5"/>
  <c r="R54" i="5"/>
  <c r="E54" i="5"/>
  <c r="H54" i="5"/>
  <c r="I54" i="5"/>
  <c r="J54" i="5"/>
  <c r="E72" i="5"/>
  <c r="R72" i="5"/>
  <c r="J72" i="5"/>
  <c r="H72" i="5"/>
  <c r="F72" i="5"/>
  <c r="I72" i="5"/>
  <c r="E140" i="5"/>
  <c r="F140" i="5"/>
  <c r="I140" i="5"/>
  <c r="R140" i="5"/>
  <c r="J140" i="5"/>
  <c r="H140" i="5"/>
  <c r="F67" i="5"/>
  <c r="G67" i="5"/>
  <c r="E67" i="5"/>
  <c r="J67" i="5"/>
  <c r="H67" i="5"/>
  <c r="R67" i="5"/>
  <c r="I67" i="5"/>
  <c r="R74" i="5"/>
  <c r="H74" i="5"/>
  <c r="E74" i="5"/>
  <c r="J74" i="5"/>
  <c r="I74" i="5"/>
  <c r="F74" i="5"/>
  <c r="E42" i="5"/>
  <c r="R42" i="5"/>
  <c r="I42" i="5"/>
  <c r="H42" i="5"/>
  <c r="F42" i="5"/>
  <c r="J42" i="5"/>
  <c r="E152" i="5"/>
  <c r="J152" i="5"/>
  <c r="H152" i="5"/>
  <c r="F152" i="5"/>
  <c r="R152" i="5"/>
  <c r="I152" i="5"/>
  <c r="E132" i="5"/>
  <c r="H132" i="5"/>
  <c r="J132" i="5"/>
  <c r="F132" i="5"/>
  <c r="R132" i="5"/>
  <c r="I132" i="5"/>
  <c r="H156" i="5"/>
  <c r="F156" i="5"/>
  <c r="R156" i="5"/>
  <c r="I156" i="5"/>
  <c r="E156" i="5"/>
  <c r="J156" i="5"/>
  <c r="G156" i="5"/>
  <c r="E48" i="5"/>
  <c r="R48" i="5"/>
  <c r="G48" i="5"/>
  <c r="J48" i="5"/>
  <c r="H48" i="5"/>
  <c r="F48" i="5"/>
  <c r="I48" i="5"/>
  <c r="E38" i="5"/>
  <c r="F38" i="5"/>
  <c r="R38" i="5"/>
  <c r="I38" i="5"/>
  <c r="J38" i="5"/>
  <c r="H38" i="5"/>
  <c r="R119" i="5"/>
  <c r="E119" i="5"/>
  <c r="J119" i="5"/>
  <c r="I119" i="5"/>
  <c r="H119" i="5"/>
  <c r="F119" i="5"/>
  <c r="E7" i="5"/>
  <c r="J7" i="5"/>
  <c r="H7" i="5"/>
  <c r="R7" i="5"/>
  <c r="F7" i="5"/>
  <c r="I7" i="5"/>
  <c r="E114" i="5"/>
  <c r="I114" i="5"/>
  <c r="H114" i="5"/>
  <c r="J114" i="5"/>
  <c r="F114" i="5"/>
  <c r="R114" i="5"/>
  <c r="G74" i="5"/>
  <c r="J5" i="5"/>
  <c r="E5" i="5"/>
  <c r="R5" i="5"/>
  <c r="H5" i="5"/>
  <c r="F5" i="5"/>
  <c r="I5" i="5"/>
  <c r="E130" i="5"/>
  <c r="H130" i="5"/>
  <c r="F130" i="5"/>
  <c r="R130" i="5"/>
  <c r="J130" i="5"/>
  <c r="I130" i="5"/>
  <c r="E59" i="5"/>
  <c r="H59" i="5"/>
  <c r="J59" i="5"/>
  <c r="F59" i="5"/>
  <c r="I59" i="5"/>
  <c r="R59" i="5"/>
  <c r="E148" i="5"/>
  <c r="G148" i="5"/>
  <c r="F148" i="5"/>
  <c r="J148" i="5"/>
  <c r="H148" i="5"/>
  <c r="R148" i="5"/>
  <c r="I148" i="5"/>
  <c r="H71" i="5"/>
  <c r="E71" i="5"/>
  <c r="J71" i="5"/>
  <c r="I71" i="5"/>
  <c r="F71" i="5"/>
  <c r="R71" i="5"/>
  <c r="E15" i="5"/>
  <c r="H15" i="5"/>
  <c r="J15" i="5"/>
  <c r="I15" i="5"/>
  <c r="F15" i="5"/>
  <c r="R15" i="5"/>
  <c r="E122" i="5"/>
  <c r="I122" i="5"/>
  <c r="F122" i="5"/>
  <c r="H122" i="5"/>
  <c r="R122" i="5"/>
  <c r="J122" i="5"/>
  <c r="R47" i="5"/>
  <c r="G47" i="5"/>
  <c r="E47" i="5"/>
  <c r="I47" i="5"/>
  <c r="H47" i="5"/>
  <c r="F47" i="5"/>
  <c r="J47" i="5"/>
  <c r="C69" i="6"/>
  <c r="E51" i="5"/>
  <c r="J51" i="5"/>
  <c r="I51" i="5"/>
  <c r="H51" i="5"/>
  <c r="R51" i="5"/>
  <c r="F51" i="5"/>
  <c r="G15" i="5"/>
  <c r="R33" i="5"/>
  <c r="E33" i="5"/>
  <c r="I33" i="5"/>
  <c r="F33" i="5"/>
  <c r="H33" i="5"/>
  <c r="J33" i="5"/>
  <c r="F60" i="5"/>
  <c r="E60" i="5"/>
  <c r="R60" i="5"/>
  <c r="I60" i="5"/>
  <c r="H60" i="5"/>
  <c r="J60" i="5"/>
  <c r="E149" i="5"/>
  <c r="R149" i="5"/>
  <c r="F149" i="5"/>
  <c r="J149" i="5"/>
  <c r="I149" i="5"/>
  <c r="H149" i="5"/>
  <c r="E98" i="5"/>
  <c r="H98" i="5"/>
  <c r="R98" i="5"/>
  <c r="I98" i="5"/>
  <c r="F98" i="5"/>
  <c r="J98" i="5"/>
  <c r="E136" i="5"/>
  <c r="J136" i="5"/>
  <c r="I136" i="5"/>
  <c r="F136" i="5"/>
  <c r="R136" i="5"/>
  <c r="H136" i="5"/>
  <c r="G136" i="5"/>
  <c r="E18" i="5"/>
  <c r="R18" i="5"/>
  <c r="I18" i="5"/>
  <c r="J18" i="5"/>
  <c r="H18" i="5"/>
  <c r="F18" i="5"/>
  <c r="J41" i="5"/>
  <c r="R41" i="5"/>
  <c r="E41" i="5"/>
  <c r="G41" i="5"/>
  <c r="F41" i="5"/>
  <c r="H41" i="5"/>
  <c r="I41" i="5"/>
  <c r="E14" i="5"/>
  <c r="I14" i="5"/>
  <c r="F14" i="5"/>
  <c r="R14" i="5"/>
  <c r="H14" i="5"/>
  <c r="J14" i="5"/>
  <c r="R62" i="5"/>
  <c r="E62" i="5"/>
  <c r="H62" i="5"/>
  <c r="F62" i="5"/>
  <c r="J62" i="5"/>
  <c r="I62" i="5"/>
  <c r="G57" i="5"/>
  <c r="R57" i="5"/>
  <c r="E57" i="5"/>
  <c r="F57" i="5"/>
  <c r="I57" i="5"/>
  <c r="J57" i="5"/>
  <c r="H57" i="5"/>
  <c r="F95" i="5"/>
  <c r="E95" i="5"/>
  <c r="R95" i="5"/>
  <c r="H95" i="5"/>
  <c r="I95" i="5"/>
  <c r="J95" i="5"/>
  <c r="G96" i="5"/>
  <c r="R96" i="5"/>
  <c r="I96" i="5"/>
  <c r="F96" i="5"/>
  <c r="E96" i="5"/>
  <c r="J96" i="5"/>
  <c r="H96" i="5"/>
  <c r="E93" i="5"/>
  <c r="F93" i="5"/>
  <c r="R93" i="5"/>
  <c r="I93" i="5"/>
  <c r="J93" i="5"/>
  <c r="H93" i="5"/>
  <c r="J36" i="5"/>
  <c r="R36" i="5"/>
  <c r="G36" i="5"/>
  <c r="H36" i="5"/>
  <c r="E36" i="5"/>
  <c r="F36" i="5"/>
  <c r="I36" i="5"/>
  <c r="E39" i="5"/>
  <c r="J39" i="5"/>
  <c r="I39" i="5"/>
  <c r="F39" i="5"/>
  <c r="H39" i="5"/>
  <c r="R39" i="5"/>
  <c r="E102" i="5"/>
  <c r="H102" i="5"/>
  <c r="I102" i="5"/>
  <c r="F102" i="5"/>
  <c r="R102" i="5"/>
  <c r="J102" i="5"/>
  <c r="I123" i="5"/>
  <c r="E123" i="5"/>
  <c r="H123" i="5"/>
  <c r="J123" i="5"/>
  <c r="F123" i="5"/>
  <c r="R123" i="5"/>
  <c r="E49" i="5"/>
  <c r="I49" i="5"/>
  <c r="J49" i="5"/>
  <c r="H49" i="5"/>
  <c r="R49" i="5"/>
  <c r="F49" i="5"/>
  <c r="E118" i="5"/>
  <c r="F118" i="5"/>
  <c r="H118" i="5"/>
  <c r="R118" i="5"/>
  <c r="J118" i="5"/>
  <c r="I118" i="5"/>
  <c r="I121" i="5"/>
  <c r="E121" i="5"/>
  <c r="G121" i="5"/>
  <c r="F121" i="5"/>
  <c r="J121" i="5"/>
  <c r="H121" i="5"/>
  <c r="R121" i="5"/>
  <c r="G93" i="5"/>
  <c r="E109" i="5"/>
  <c r="F109" i="5"/>
  <c r="J109" i="5"/>
  <c r="I109" i="5"/>
  <c r="H109" i="5"/>
  <c r="R109" i="5"/>
  <c r="E82" i="5"/>
  <c r="R82" i="5"/>
  <c r="H82" i="5"/>
  <c r="F82" i="5"/>
  <c r="J82" i="5"/>
  <c r="I82" i="5"/>
  <c r="G97" i="5"/>
  <c r="R97" i="5"/>
  <c r="E97" i="5"/>
  <c r="H97" i="5"/>
  <c r="I97" i="5"/>
  <c r="F97" i="5"/>
  <c r="J97" i="5"/>
  <c r="G77" i="5"/>
  <c r="R77" i="5"/>
  <c r="E77" i="5"/>
  <c r="J77" i="5"/>
  <c r="F77" i="5"/>
  <c r="H77" i="5"/>
  <c r="I77" i="5"/>
  <c r="E10" i="5"/>
  <c r="F10" i="5"/>
  <c r="I10" i="5"/>
  <c r="R10" i="5"/>
  <c r="J10" i="5"/>
  <c r="H10" i="5"/>
  <c r="J27" i="5"/>
  <c r="G27" i="5"/>
  <c r="E27" i="5"/>
  <c r="H27" i="5"/>
  <c r="F27" i="5"/>
  <c r="R27" i="5"/>
  <c r="I27" i="5"/>
  <c r="G118" i="5"/>
  <c r="E88" i="5"/>
  <c r="R88" i="5"/>
  <c r="J88" i="5"/>
  <c r="H88" i="5"/>
  <c r="F88" i="5"/>
  <c r="G88" i="5"/>
  <c r="I88" i="5"/>
  <c r="E90" i="5"/>
  <c r="H90" i="5"/>
  <c r="J90" i="5"/>
  <c r="I90" i="5"/>
  <c r="F90" i="5"/>
  <c r="R90" i="5"/>
  <c r="E134" i="5"/>
  <c r="H134" i="5"/>
  <c r="F134" i="5"/>
  <c r="R134" i="5"/>
  <c r="J134" i="5"/>
  <c r="I134" i="5"/>
  <c r="H80" i="5"/>
  <c r="E80" i="5"/>
  <c r="R80" i="5"/>
  <c r="I80" i="5"/>
  <c r="F80" i="5"/>
  <c r="J80" i="5"/>
  <c r="J55" i="5"/>
  <c r="H55" i="5"/>
  <c r="I55" i="5"/>
  <c r="E55" i="5"/>
  <c r="R55" i="5"/>
  <c r="F55" i="5"/>
  <c r="E131" i="5"/>
  <c r="R131" i="5"/>
  <c r="H131" i="5"/>
  <c r="F131" i="5"/>
  <c r="I131" i="5"/>
  <c r="J131" i="5"/>
  <c r="E153" i="5"/>
  <c r="R153" i="5"/>
  <c r="F153" i="5"/>
  <c r="H153" i="5"/>
  <c r="J153" i="5"/>
  <c r="I153" i="5"/>
  <c r="J111" i="5"/>
  <c r="E111" i="5"/>
  <c r="F111" i="5"/>
  <c r="I111" i="5"/>
  <c r="R111" i="5"/>
  <c r="H111" i="5"/>
  <c r="I110" i="5"/>
  <c r="E110" i="5"/>
  <c r="H110" i="5"/>
  <c r="F110" i="5"/>
  <c r="R110" i="5"/>
  <c r="J110" i="5"/>
  <c r="J147" i="5"/>
  <c r="H147" i="5"/>
  <c r="F147" i="5"/>
  <c r="G147" i="5"/>
  <c r="E147" i="5"/>
  <c r="I147" i="5"/>
  <c r="R147" i="5"/>
  <c r="E79" i="5"/>
  <c r="F79" i="5"/>
  <c r="I79" i="5"/>
  <c r="R79" i="5"/>
  <c r="H79" i="5"/>
  <c r="J79" i="5"/>
  <c r="H107" i="5"/>
  <c r="I107" i="5"/>
  <c r="R107" i="5"/>
  <c r="G107" i="5"/>
  <c r="E107" i="5"/>
  <c r="F107" i="5"/>
  <c r="J107" i="5"/>
  <c r="E120" i="5"/>
  <c r="R120" i="5"/>
  <c r="I120" i="5"/>
  <c r="J120" i="5"/>
  <c r="H120" i="5"/>
  <c r="F120" i="5"/>
  <c r="E150" i="5"/>
  <c r="H150" i="5"/>
  <c r="F150" i="5"/>
  <c r="R150" i="5"/>
  <c r="J150" i="5"/>
  <c r="I150" i="5"/>
  <c r="E22" i="5"/>
  <c r="I22" i="5"/>
  <c r="H22" i="5"/>
  <c r="R22" i="5"/>
  <c r="F22" i="5"/>
  <c r="J22" i="5"/>
  <c r="G55" i="5"/>
  <c r="E68" i="5"/>
  <c r="R68" i="5"/>
  <c r="G68" i="5"/>
  <c r="J68" i="5"/>
  <c r="H68" i="5"/>
  <c r="F68" i="5"/>
  <c r="I68" i="5"/>
  <c r="G153" i="5"/>
  <c r="E29" i="5"/>
  <c r="H29" i="5"/>
  <c r="F29" i="5"/>
  <c r="J29" i="5"/>
  <c r="I29" i="5"/>
  <c r="R29" i="5"/>
  <c r="R32" i="5"/>
  <c r="E32" i="5"/>
  <c r="I32" i="5"/>
  <c r="H32" i="5"/>
  <c r="J32" i="5"/>
  <c r="F32" i="5"/>
  <c r="F53" i="5"/>
  <c r="R53" i="5"/>
  <c r="E53" i="5"/>
  <c r="I53" i="5"/>
  <c r="J53" i="5"/>
  <c r="H53" i="5"/>
  <c r="G16" i="5"/>
  <c r="J16" i="5"/>
  <c r="F16" i="5"/>
  <c r="E16" i="5"/>
  <c r="I16" i="5"/>
  <c r="H16" i="5"/>
  <c r="R16" i="5"/>
  <c r="E100" i="5"/>
  <c r="J100" i="5"/>
  <c r="H100" i="5"/>
  <c r="F100" i="5"/>
  <c r="R100" i="5"/>
  <c r="I100" i="5"/>
  <c r="I35" i="5"/>
  <c r="E35" i="5"/>
  <c r="H35" i="5"/>
  <c r="R35" i="5"/>
  <c r="J35" i="5"/>
  <c r="F35" i="5"/>
  <c r="D66" i="6"/>
  <c r="C66" i="6"/>
  <c r="G53" i="5"/>
  <c r="H115" i="5"/>
  <c r="E115" i="5"/>
  <c r="I115" i="5"/>
  <c r="R115" i="5"/>
  <c r="F115" i="5"/>
  <c r="J115" i="5"/>
  <c r="G35" i="5"/>
  <c r="E58" i="5"/>
  <c r="R58" i="5"/>
  <c r="H58" i="5"/>
  <c r="F58" i="5"/>
  <c r="J58" i="5"/>
  <c r="I58" i="5"/>
  <c r="E141" i="5"/>
  <c r="G141" i="5"/>
  <c r="F141" i="5"/>
  <c r="R141" i="5"/>
  <c r="J141" i="5"/>
  <c r="I141" i="5"/>
  <c r="H141" i="5"/>
  <c r="G17" i="5"/>
  <c r="E17" i="5"/>
  <c r="F17" i="5"/>
  <c r="H17" i="5"/>
  <c r="R17" i="5"/>
  <c r="I17" i="5"/>
  <c r="J17" i="5"/>
  <c r="E139" i="5"/>
  <c r="H139" i="5"/>
  <c r="J139" i="5"/>
  <c r="R139" i="5"/>
  <c r="I139" i="5"/>
  <c r="F139" i="5"/>
  <c r="E28" i="5"/>
  <c r="H28" i="5"/>
  <c r="J28" i="5"/>
  <c r="F28" i="5"/>
  <c r="G28" i="5"/>
  <c r="R28" i="5"/>
  <c r="I28" i="5"/>
  <c r="G137" i="5"/>
  <c r="E137" i="5"/>
  <c r="J137" i="5"/>
  <c r="I137" i="5"/>
  <c r="H137" i="5"/>
  <c r="F137" i="5"/>
  <c r="R137" i="5"/>
  <c r="F69" i="5"/>
  <c r="E69" i="5"/>
  <c r="R69" i="5"/>
  <c r="I69" i="5"/>
  <c r="J69" i="5"/>
  <c r="H69" i="5"/>
  <c r="E40" i="5"/>
  <c r="J40" i="5"/>
  <c r="I40" i="5"/>
  <c r="H40" i="5"/>
  <c r="F40" i="5"/>
  <c r="R40" i="5"/>
  <c r="F127" i="5"/>
  <c r="G127" i="5"/>
  <c r="E127" i="5"/>
  <c r="I127" i="5"/>
  <c r="H127" i="5"/>
  <c r="R127" i="5"/>
  <c r="J127" i="5"/>
  <c r="H117" i="5"/>
  <c r="G117" i="5"/>
  <c r="E117" i="5"/>
  <c r="I117" i="5"/>
  <c r="R117" i="5"/>
  <c r="F117" i="5"/>
  <c r="J117" i="5"/>
  <c r="E9" i="5"/>
  <c r="R9" i="5"/>
  <c r="F9" i="5"/>
  <c r="H9" i="5"/>
  <c r="J9" i="5"/>
  <c r="I9" i="5"/>
  <c r="R30" i="5"/>
  <c r="E30" i="5"/>
  <c r="H30" i="5"/>
  <c r="I30" i="5"/>
  <c r="J30" i="5"/>
  <c r="F30" i="5"/>
  <c r="F113" i="5"/>
  <c r="R113" i="5"/>
  <c r="E113" i="5"/>
  <c r="J113" i="5"/>
  <c r="I113" i="5"/>
  <c r="H113" i="5"/>
  <c r="E19" i="5"/>
  <c r="H19" i="5"/>
  <c r="R19" i="5"/>
  <c r="J19" i="5"/>
  <c r="I19" i="5"/>
  <c r="F19" i="5"/>
  <c r="I61" i="5"/>
  <c r="E61" i="5"/>
  <c r="G61" i="5"/>
  <c r="H61" i="5"/>
  <c r="F61" i="5"/>
  <c r="R61" i="5"/>
  <c r="J61" i="5"/>
  <c r="E112" i="5"/>
  <c r="J112" i="5"/>
  <c r="H112" i="5"/>
  <c r="F112" i="5"/>
  <c r="I112" i="5"/>
  <c r="R112" i="5"/>
  <c r="R92" i="5"/>
  <c r="E92" i="5"/>
  <c r="I92" i="5"/>
  <c r="J92" i="5"/>
  <c r="H92" i="5"/>
  <c r="F92" i="5"/>
  <c r="G113" i="5"/>
  <c r="E89" i="5"/>
  <c r="J89" i="5"/>
  <c r="H89" i="5"/>
  <c r="I89" i="5"/>
  <c r="F89" i="5"/>
  <c r="R89" i="5"/>
  <c r="I34" i="5"/>
  <c r="R34" i="5"/>
  <c r="E34" i="5"/>
  <c r="F34" i="5"/>
  <c r="H34" i="5"/>
  <c r="J34" i="5"/>
  <c r="F70" i="5"/>
  <c r="E70" i="5"/>
  <c r="R70" i="5"/>
  <c r="I70" i="5"/>
  <c r="H70" i="5"/>
  <c r="J70" i="5"/>
  <c r="E138" i="5"/>
  <c r="F138" i="5"/>
  <c r="R138" i="5"/>
  <c r="H138" i="5"/>
  <c r="J138" i="5"/>
  <c r="I138" i="5"/>
  <c r="E91" i="5"/>
  <c r="F91" i="5"/>
  <c r="H91" i="5"/>
  <c r="R91" i="5"/>
  <c r="I91" i="5"/>
  <c r="J91" i="5"/>
  <c r="R73" i="5"/>
  <c r="I73" i="5"/>
  <c r="E73" i="5"/>
  <c r="J73" i="5"/>
  <c r="F73" i="5"/>
  <c r="H73" i="5"/>
  <c r="H142" i="5"/>
  <c r="E142" i="5"/>
  <c r="I142" i="5"/>
  <c r="F142" i="5"/>
  <c r="R142" i="5"/>
  <c r="J142" i="5"/>
  <c r="H83" i="5"/>
  <c r="R83" i="5"/>
  <c r="J83" i="5"/>
  <c r="I83" i="5"/>
  <c r="E83" i="5"/>
  <c r="F83" i="5"/>
  <c r="F43" i="5"/>
  <c r="E43" i="5"/>
  <c r="J43" i="5"/>
  <c r="H43" i="5"/>
  <c r="I43" i="5"/>
  <c r="R43" i="5"/>
  <c r="E13" i="5"/>
  <c r="F13" i="5"/>
  <c r="H13" i="5"/>
  <c r="R13" i="5"/>
  <c r="J13" i="5"/>
  <c r="I13" i="5"/>
  <c r="J23" i="5"/>
  <c r="E23" i="5"/>
  <c r="H23" i="5"/>
  <c r="I23" i="5"/>
  <c r="R23" i="5"/>
  <c r="F23" i="5"/>
  <c r="G138" i="5"/>
  <c r="G10" i="5"/>
  <c r="R116" i="5"/>
  <c r="I116" i="5"/>
  <c r="E116" i="5"/>
  <c r="J116" i="5"/>
  <c r="H116" i="5"/>
  <c r="F116" i="5"/>
  <c r="G116" i="5"/>
  <c r="G73" i="5"/>
  <c r="G56" i="5"/>
  <c r="E56" i="5"/>
  <c r="R56" i="5"/>
  <c r="J56" i="5"/>
  <c r="I56" i="5"/>
  <c r="H56" i="5"/>
  <c r="F56" i="5"/>
  <c r="G87" i="5"/>
  <c r="E87" i="5"/>
  <c r="J87" i="5"/>
  <c r="I87" i="5"/>
  <c r="R87" i="5"/>
  <c r="H87" i="5"/>
  <c r="F87" i="5"/>
  <c r="E129" i="5"/>
  <c r="F129" i="5"/>
  <c r="R129" i="5"/>
  <c r="H129" i="5"/>
  <c r="I129" i="5"/>
  <c r="J129" i="5"/>
  <c r="D67" i="6"/>
  <c r="C67" i="6"/>
  <c r="E128" i="5"/>
  <c r="J128" i="5"/>
  <c r="H128" i="5"/>
  <c r="F128" i="5"/>
  <c r="I128" i="5"/>
  <c r="R128" i="5"/>
  <c r="G128" i="5"/>
  <c r="E31" i="5"/>
  <c r="I31" i="5"/>
  <c r="R31" i="5"/>
  <c r="H31" i="5"/>
  <c r="J31" i="5"/>
  <c r="F31" i="5"/>
  <c r="E75" i="5"/>
  <c r="J75" i="5"/>
  <c r="F75" i="5"/>
  <c r="H75" i="5"/>
  <c r="R75" i="5"/>
  <c r="I75" i="5"/>
  <c r="H20" i="5"/>
  <c r="E20" i="5"/>
  <c r="R20" i="5"/>
  <c r="J20" i="5"/>
  <c r="I20" i="5"/>
  <c r="F20" i="5"/>
  <c r="E11" i="5"/>
  <c r="I11" i="5"/>
  <c r="H11" i="5"/>
  <c r="R11" i="5"/>
  <c r="J11" i="5"/>
  <c r="F11" i="5"/>
  <c r="G75" i="5"/>
  <c r="G50" i="5"/>
  <c r="E52" i="5"/>
  <c r="R52" i="5"/>
  <c r="J52" i="5"/>
  <c r="H52" i="5"/>
  <c r="F52" i="5"/>
  <c r="I52" i="5"/>
  <c r="R94" i="5"/>
  <c r="H94" i="5"/>
  <c r="E94" i="5"/>
  <c r="I94" i="5"/>
  <c r="F94" i="5"/>
  <c r="J94" i="5"/>
  <c r="H135" i="5"/>
  <c r="F135" i="5"/>
  <c r="R135" i="5"/>
  <c r="J135" i="5"/>
  <c r="E135" i="5"/>
  <c r="I135" i="5"/>
  <c r="E63" i="5"/>
  <c r="I63" i="5"/>
  <c r="H63" i="5"/>
  <c r="R63" i="5"/>
  <c r="F63" i="5"/>
  <c r="J63" i="5"/>
  <c r="E133" i="5"/>
  <c r="J133" i="5"/>
  <c r="I133" i="5"/>
  <c r="H133" i="5"/>
  <c r="R133" i="5"/>
  <c r="F133" i="5"/>
  <c r="I154" i="5"/>
  <c r="E154" i="5"/>
  <c r="H154" i="5"/>
  <c r="F154" i="5"/>
  <c r="R154" i="5"/>
  <c r="J154" i="5"/>
  <c r="G94" i="5"/>
  <c r="G103" i="5"/>
  <c r="H155" i="5"/>
  <c r="R155" i="5"/>
  <c r="J155" i="5"/>
  <c r="E155" i="5"/>
  <c r="I155" i="5"/>
  <c r="F155" i="5"/>
  <c r="G135" i="5"/>
  <c r="G143" i="5"/>
  <c r="E151" i="5"/>
  <c r="H151" i="5"/>
  <c r="R151" i="5"/>
  <c r="J151" i="5"/>
  <c r="I151" i="5"/>
  <c r="F151" i="5"/>
  <c r="D64" i="6"/>
  <c r="C64" i="6"/>
  <c r="S85" i="5"/>
  <c r="T106" i="5"/>
  <c r="S126" i="5"/>
  <c r="S26" i="5"/>
  <c r="S101" i="5"/>
  <c r="S146" i="5"/>
  <c r="S125" i="5"/>
  <c r="S46" i="5"/>
  <c r="T125" i="5"/>
  <c r="T46" i="5"/>
  <c r="S65" i="5"/>
  <c r="S66" i="5"/>
  <c r="T85" i="5"/>
  <c r="S45" i="5"/>
  <c r="S104" i="5"/>
  <c r="T126" i="5"/>
  <c r="S144" i="5"/>
  <c r="S105" i="5"/>
  <c r="T101" i="5"/>
  <c r="S21" i="5"/>
  <c r="T65" i="5"/>
  <c r="S24" i="5"/>
  <c r="T146" i="5"/>
  <c r="S84" i="5"/>
  <c r="T26" i="5"/>
  <c r="T66" i="5"/>
  <c r="S8" i="5"/>
  <c r="S81" i="5"/>
  <c r="S44" i="5"/>
  <c r="S86" i="5"/>
  <c r="S64" i="5"/>
  <c r="S25" i="5"/>
  <c r="S124" i="5"/>
  <c r="S145" i="5"/>
  <c r="X85" i="5" l="1"/>
  <c r="D55" i="6"/>
  <c r="C55" i="6"/>
  <c r="D56" i="6"/>
  <c r="C56" i="6"/>
  <c r="X126" i="5"/>
  <c r="X26" i="5"/>
  <c r="X146" i="5"/>
  <c r="X101" i="5"/>
  <c r="C65" i="6"/>
  <c r="D68" i="6"/>
  <c r="X66" i="5"/>
  <c r="X65" i="5"/>
  <c r="X46" i="5"/>
  <c r="X125" i="5"/>
  <c r="X137" i="5"/>
  <c r="X17" i="5"/>
  <c r="X29" i="5"/>
  <c r="X55" i="5"/>
  <c r="X60" i="5"/>
  <c r="X61" i="5"/>
  <c r="X78" i="5"/>
  <c r="X50" i="5"/>
  <c r="X93" i="5"/>
  <c r="X136" i="5"/>
  <c r="X47" i="5"/>
  <c r="X48" i="5"/>
  <c r="X76" i="5"/>
  <c r="X130" i="5"/>
  <c r="X152" i="5"/>
  <c r="X103" i="5"/>
  <c r="X63" i="5"/>
  <c r="X52" i="5"/>
  <c r="X75" i="5"/>
  <c r="X150" i="5"/>
  <c r="X37" i="5"/>
  <c r="X156" i="5"/>
  <c r="X73" i="5"/>
  <c r="X41" i="5"/>
  <c r="X9" i="5"/>
  <c r="X96" i="5"/>
  <c r="X119" i="5"/>
  <c r="X140" i="5"/>
  <c r="X99" i="5"/>
  <c r="X70" i="5"/>
  <c r="X147" i="5"/>
  <c r="X92" i="5"/>
  <c r="X19" i="5"/>
  <c r="X40" i="5"/>
  <c r="X28" i="5"/>
  <c r="X141" i="5"/>
  <c r="X33" i="5"/>
  <c r="X5" i="5"/>
  <c r="G69" i="6" a="1"/>
  <c r="G69" i="6" s="1"/>
  <c r="H69" i="6" s="1"/>
  <c r="H70" i="6" s="1"/>
  <c r="D2" i="6" s="1"/>
  <c r="X42" i="5"/>
  <c r="X108" i="5"/>
  <c r="X154" i="5"/>
  <c r="X53" i="5"/>
  <c r="X153" i="5"/>
  <c r="X80" i="5"/>
  <c r="X88" i="5"/>
  <c r="X77" i="5"/>
  <c r="X62" i="5"/>
  <c r="X98" i="5"/>
  <c r="X13" i="5"/>
  <c r="X7" i="5"/>
  <c r="X10" i="5"/>
  <c r="X43" i="5"/>
  <c r="X83" i="5"/>
  <c r="X109" i="5"/>
  <c r="X39" i="5"/>
  <c r="X148" i="5"/>
  <c r="X31" i="5"/>
  <c r="X117" i="5"/>
  <c r="X35" i="5"/>
  <c r="X68" i="5"/>
  <c r="X120" i="5"/>
  <c r="X122" i="5"/>
  <c r="X79" i="5"/>
  <c r="X82" i="5"/>
  <c r="X102" i="5"/>
  <c r="X87" i="5"/>
  <c r="X49" i="5"/>
  <c r="X74" i="5"/>
  <c r="X89" i="5"/>
  <c r="X115" i="5"/>
  <c r="X111" i="5"/>
  <c r="X118" i="5"/>
  <c r="X91" i="5"/>
  <c r="X113" i="5"/>
  <c r="X151" i="5"/>
  <c r="X11" i="5"/>
  <c r="X69" i="5"/>
  <c r="X36" i="5"/>
  <c r="X72" i="5"/>
  <c r="X143" i="5"/>
  <c r="X6" i="5"/>
  <c r="X149" i="5"/>
  <c r="X12" i="5"/>
  <c r="X16" i="5"/>
  <c r="X90" i="5"/>
  <c r="X57" i="5"/>
  <c r="X71" i="5"/>
  <c r="X135" i="5"/>
  <c r="X129" i="5"/>
  <c r="X116" i="5"/>
  <c r="X94" i="5"/>
  <c r="X34" i="5"/>
  <c r="X23" i="5"/>
  <c r="X32" i="5"/>
  <c r="X110" i="5"/>
  <c r="X27" i="5"/>
  <c r="X59" i="5"/>
  <c r="X114" i="5"/>
  <c r="X38" i="5"/>
  <c r="X132" i="5"/>
  <c r="X133" i="5"/>
  <c r="X131" i="5"/>
  <c r="X121" i="5"/>
  <c r="X123" i="5"/>
  <c r="X14" i="5"/>
  <c r="X51" i="5"/>
  <c r="X15" i="5"/>
  <c r="X139" i="5"/>
  <c r="X58" i="5"/>
  <c r="X107" i="5"/>
  <c r="X112" i="5"/>
  <c r="X134" i="5"/>
  <c r="X97" i="5"/>
  <c r="X95" i="5"/>
  <c r="X18" i="5"/>
  <c r="X155" i="5"/>
  <c r="X20" i="5"/>
  <c r="X128" i="5"/>
  <c r="X138" i="5"/>
  <c r="X100" i="5"/>
  <c r="X54" i="5"/>
  <c r="X56" i="5"/>
  <c r="X142" i="5"/>
  <c r="X30" i="5"/>
  <c r="X127" i="5"/>
  <c r="X22" i="5"/>
  <c r="X67" i="5"/>
  <c r="T145" i="5"/>
  <c r="S130" i="5"/>
  <c r="S108" i="5"/>
  <c r="S98" i="5"/>
  <c r="S109" i="5"/>
  <c r="S110" i="5"/>
  <c r="S155" i="5"/>
  <c r="S56" i="5"/>
  <c r="S19" i="5"/>
  <c r="S58" i="5"/>
  <c r="S78" i="5"/>
  <c r="S152" i="5"/>
  <c r="S96" i="5"/>
  <c r="S13" i="5"/>
  <c r="S6" i="5"/>
  <c r="S20" i="5"/>
  <c r="S129" i="5"/>
  <c r="S30" i="5"/>
  <c r="S154" i="5"/>
  <c r="S29" i="5"/>
  <c r="S28" i="5"/>
  <c r="S74" i="5"/>
  <c r="S128" i="5"/>
  <c r="S148" i="5"/>
  <c r="S121" i="5"/>
  <c r="S127" i="5"/>
  <c r="S10" i="5"/>
  <c r="S94" i="5"/>
  <c r="S123" i="5"/>
  <c r="S156" i="5"/>
  <c r="S38" i="5"/>
  <c r="S111" i="5"/>
  <c r="S132" i="5"/>
  <c r="S100" i="5"/>
  <c r="S134" i="5"/>
  <c r="S48" i="5"/>
  <c r="S73" i="5"/>
  <c r="S23" i="5"/>
  <c r="S77" i="5"/>
  <c r="S68" i="5"/>
  <c r="S90" i="5"/>
  <c r="S95" i="5"/>
  <c r="S67" i="5"/>
  <c r="S137" i="5"/>
  <c r="S62" i="5"/>
  <c r="S143" i="5"/>
  <c r="T124" i="5"/>
  <c r="S135" i="5"/>
  <c r="S142" i="5"/>
  <c r="S27" i="5"/>
  <c r="S107" i="5"/>
  <c r="S119" i="5"/>
  <c r="S131" i="5"/>
  <c r="S103" i="5"/>
  <c r="S7" i="5"/>
  <c r="S79" i="5"/>
  <c r="S11" i="5"/>
  <c r="S116" i="5"/>
  <c r="S59" i="5"/>
  <c r="S112" i="5"/>
  <c r="S138" i="5"/>
  <c r="S31" i="5"/>
  <c r="S69" i="5"/>
  <c r="S114" i="5"/>
  <c r="S153" i="5"/>
  <c r="S115" i="5"/>
  <c r="S22" i="5"/>
  <c r="S99" i="5"/>
  <c r="S102" i="5"/>
  <c r="S117" i="5"/>
  <c r="S36" i="5"/>
  <c r="S34" i="5"/>
  <c r="S14" i="5"/>
  <c r="S51" i="5"/>
  <c r="T45" i="5"/>
  <c r="S54" i="5"/>
  <c r="S42" i="5"/>
  <c r="T25" i="5"/>
  <c r="T64" i="5"/>
  <c r="S37" i="5"/>
  <c r="S40" i="5"/>
  <c r="T86" i="5"/>
  <c r="S50" i="5"/>
  <c r="S39" i="5"/>
  <c r="S151" i="5"/>
  <c r="S43" i="5"/>
  <c r="S87" i="5"/>
  <c r="S97" i="5"/>
  <c r="S5" i="5"/>
  <c r="S91" i="5"/>
  <c r="T44" i="5"/>
  <c r="S12" i="5"/>
  <c r="T81" i="5"/>
  <c r="T8" i="5"/>
  <c r="S63" i="5"/>
  <c r="S140" i="5"/>
  <c r="S141" i="5"/>
  <c r="S53" i="5"/>
  <c r="S82" i="5"/>
  <c r="S89" i="5"/>
  <c r="S149" i="5"/>
  <c r="T84" i="5"/>
  <c r="S55" i="5"/>
  <c r="S93" i="5"/>
  <c r="T24" i="5"/>
  <c r="S80" i="5"/>
  <c r="T21" i="5"/>
  <c r="S136" i="5"/>
  <c r="S75" i="5"/>
  <c r="S72" i="5"/>
  <c r="S147" i="5"/>
  <c r="S57" i="5"/>
  <c r="T105" i="5"/>
  <c r="S60" i="5"/>
  <c r="S15" i="5"/>
  <c r="T144" i="5"/>
  <c r="S47" i="5"/>
  <c r="S52" i="5"/>
  <c r="S33" i="5"/>
  <c r="T104" i="5"/>
  <c r="S70" i="5"/>
  <c r="S88" i="5"/>
  <c r="S35" i="5"/>
  <c r="S118" i="5"/>
  <c r="S16" i="5"/>
  <c r="S83" i="5"/>
  <c r="S61" i="5"/>
  <c r="S41" i="5"/>
  <c r="S120" i="5"/>
  <c r="S76" i="5"/>
  <c r="S150" i="5"/>
  <c r="S9" i="5"/>
  <c r="S139" i="5"/>
  <c r="S18" i="5"/>
  <c r="S17" i="5"/>
  <c r="S92" i="5"/>
  <c r="S122" i="5"/>
  <c r="S49" i="5"/>
  <c r="S113" i="5"/>
  <c r="S71" i="5"/>
  <c r="S32" i="5"/>
  <c r="S133" i="5"/>
  <c r="T133" i="5" l="1"/>
  <c r="T88" i="5"/>
  <c r="T140" i="5"/>
  <c r="T102" i="5"/>
  <c r="T142" i="5"/>
  <c r="T94" i="5"/>
  <c r="T56" i="5"/>
  <c r="T99" i="5"/>
  <c r="T135" i="5"/>
  <c r="T10" i="5"/>
  <c r="T155" i="5"/>
  <c r="T12" i="5"/>
  <c r="T22" i="5"/>
  <c r="T143" i="5"/>
  <c r="T127" i="5"/>
  <c r="T110" i="5"/>
  <c r="T115" i="5"/>
  <c r="T62" i="5"/>
  <c r="T47" i="5"/>
  <c r="T5" i="5"/>
  <c r="T137" i="5"/>
  <c r="T148" i="5"/>
  <c r="T98" i="5"/>
  <c r="T114" i="5"/>
  <c r="T67" i="5"/>
  <c r="T128" i="5"/>
  <c r="T87" i="5"/>
  <c r="T74" i="5"/>
  <c r="T130" i="5"/>
  <c r="T57" i="5"/>
  <c r="T31" i="5"/>
  <c r="T28" i="5"/>
  <c r="T138" i="5"/>
  <c r="T68" i="5"/>
  <c r="T29" i="5"/>
  <c r="T112" i="5"/>
  <c r="T154" i="5"/>
  <c r="T59" i="5"/>
  <c r="T116" i="5"/>
  <c r="T73" i="5"/>
  <c r="T37" i="5"/>
  <c r="T11" i="5"/>
  <c r="T48" i="5"/>
  <c r="T20" i="5"/>
  <c r="T79" i="5"/>
  <c r="T6" i="5"/>
  <c r="T7" i="5"/>
  <c r="T100" i="5"/>
  <c r="T51" i="5"/>
  <c r="T103" i="5"/>
  <c r="T96" i="5"/>
  <c r="T131" i="5"/>
  <c r="T152" i="5"/>
  <c r="T38" i="5"/>
  <c r="T78" i="5"/>
  <c r="T35" i="5"/>
  <c r="T27" i="5"/>
  <c r="T123" i="5"/>
  <c r="T32" i="5"/>
  <c r="T70" i="5"/>
  <c r="T63" i="5"/>
  <c r="T121" i="5"/>
  <c r="T108" i="5"/>
  <c r="T71" i="5"/>
  <c r="T33" i="5"/>
  <c r="T113" i="5"/>
  <c r="T52" i="5"/>
  <c r="T91" i="5"/>
  <c r="T109" i="5"/>
  <c r="T153" i="5"/>
  <c r="T15" i="5"/>
  <c r="T69" i="5"/>
  <c r="T77" i="5"/>
  <c r="T54" i="5"/>
  <c r="T132" i="5"/>
  <c r="T49" i="5"/>
  <c r="T122" i="5"/>
  <c r="T97" i="5"/>
  <c r="T90" i="5"/>
  <c r="T129" i="5"/>
  <c r="T92" i="5"/>
  <c r="T60" i="5"/>
  <c r="T95" i="5"/>
  <c r="T50" i="5"/>
  <c r="T111" i="5"/>
  <c r="T17" i="5"/>
  <c r="T43" i="5"/>
  <c r="T30" i="5"/>
  <c r="T42" i="5"/>
  <c r="T18" i="5"/>
  <c r="T147" i="5"/>
  <c r="T151" i="5"/>
  <c r="T23" i="5"/>
  <c r="T134" i="5"/>
  <c r="T139" i="5"/>
  <c r="T72" i="5"/>
  <c r="T39" i="5"/>
  <c r="T14" i="5"/>
  <c r="T9" i="5"/>
  <c r="T75" i="5"/>
  <c r="T13" i="5"/>
  <c r="T150" i="5"/>
  <c r="T136" i="5"/>
  <c r="T40" i="5"/>
  <c r="T76" i="5"/>
  <c r="T80" i="5"/>
  <c r="T120" i="5"/>
  <c r="T93" i="5"/>
  <c r="T41" i="5"/>
  <c r="T55" i="5"/>
  <c r="T61" i="5"/>
  <c r="T149" i="5"/>
  <c r="T141" i="5"/>
  <c r="T83" i="5"/>
  <c r="T89" i="5"/>
  <c r="T16" i="5"/>
  <c r="T82" i="5"/>
  <c r="T34" i="5"/>
  <c r="T119" i="5"/>
  <c r="T19" i="5"/>
  <c r="T118" i="5"/>
  <c r="T53" i="5"/>
  <c r="T36" i="5"/>
  <c r="T107" i="5"/>
  <c r="T156" i="5"/>
  <c r="T58" i="5"/>
  <c r="T1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<sst xmlns="http://schemas.openxmlformats.org/spreadsheetml/2006/main" count="22662" uniqueCount="15868">
  <si>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</si>
  <si>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</si>
  <si>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</si>
  <si>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</si>
  <si>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</si>
  <si>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</si>
  <si>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</si>
  <si>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</si>
  <si>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</si>
  <si>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</si>
  <si>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</si>
  <si>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</si>
  <si>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</si>
  <si>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</si>
  <si>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</si>
  <si>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</si>
  <si>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</si>
  <si>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</si>
  <si>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</si>
  <si>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</si>
  <si>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</si>
  <si>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</si>
  <si>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</si>
  <si>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</si>
  <si>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</si>
  <si>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</si>
  <si>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</si>
  <si>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</si>
  <si>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</si>
  <si>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</si>
  <si>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</si>
  <si>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</si>
  <si>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</si>
  <si>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</si>
  <si>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</si>
  <si>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</si>
  <si>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</si>
  <si>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</si>
  <si>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</si>
  <si>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</si>
  <si>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</si>
  <si>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</si>
  <si>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</si>
  <si>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</si>
  <si>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</si>
  <si>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</si>
  <si>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</si>
  <si>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</si>
  <si>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</si>
  <si>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</si>
  <si>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</si>
  <si>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</si>
  <si>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</si>
  <si>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</si>
  <si>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</si>
  <si>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</si>
  <si>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</si>
  <si>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</si>
  <si>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</si>
  <si>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</si>
  <si>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</si>
  <si>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</si>
  <si>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</si>
  <si>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</si>
  <si>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</si>
  <si>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</si>
  <si>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</si>
  <si>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</si>
  <si>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</si>
  <si>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</si>
  <si>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</si>
  <si>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</si>
  <si>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</si>
  <si>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</si>
  <si>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</si>
  <si>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</si>
  <si>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</si>
  <si>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</si>
  <si>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</si>
  <si>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</si>
  <si>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</si>
  <si>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</si>
  <si>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</si>
  <si>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</si>
  <si>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</si>
  <si>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</si>
  <si>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</si>
  <si>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</si>
  <si>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</si>
  <si>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</si>
  <si>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</si>
  <si>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</si>
  <si>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</si>
  <si>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</si>
  <si>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</si>
  <si>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</si>
  <si>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</si>
  <si>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</si>
  <si>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</si>
  <si>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</si>
  <si>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</si>
  <si>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</si>
  <si>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</si>
  <si>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</si>
  <si>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</si>
  <si>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</si>
  <si>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</si>
  <si>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</si>
  <si>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</si>
  <si>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</si>
  <si>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</si>
  <si>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</si>
  <si>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</si>
  <si>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</si>
  <si>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</si>
  <si>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</si>
  <si>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</si>
  <si>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</si>
  <si>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</si>
  <si>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</si>
  <si>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</si>
  <si>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</si>
  <si>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</si>
  <si>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</si>
  <si>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</si>
  <si>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</si>
  <si>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</si>
  <si>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</si>
  <si>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</si>
  <si>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</si>
  <si>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</si>
  <si>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</si>
  <si>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</si>
  <si>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</si>
  <si>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</si>
  <si>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</si>
  <si>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</si>
  <si>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</si>
  <si>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</si>
  <si>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</si>
  <si>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</si>
  <si>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</si>
  <si>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</si>
  <si>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</si>
  <si>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</si>
  <si>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</si>
  <si>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</si>
  <si>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</si>
  <si>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</si>
  <si>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</si>
  <si>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</si>
  <si>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</si>
  <si>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</si>
  <si>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</si>
  <si>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</si>
  <si>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</si>
  <si>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</si>
  <si>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</si>
  <si>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</si>
  <si>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</si>
  <si>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</si>
  <si>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</si>
  <si>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</si>
  <si>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</si>
  <si>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</si>
  <si>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</si>
  <si>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</si>
  <si>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</si>
  <si>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</si>
  <si>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</si>
  <si>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</si>
  <si>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</si>
  <si>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</si>
  <si>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</si>
  <si>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</si>
  <si>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</si>
  <si>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</si>
  <si>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</si>
  <si>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</si>
  <si>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</si>
  <si>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</si>
  <si>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</si>
  <si>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</si>
  <si>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</si>
  <si>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</si>
  <si>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</si>
  <si>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</si>
  <si>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</si>
  <si>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</si>
  <si>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</si>
  <si>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</si>
  <si>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</si>
  <si>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</si>
  <si>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</si>
  <si>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</si>
  <si>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</si>
  <si>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</si>
  <si>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</si>
  <si>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</si>
  <si>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</si>
  <si>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</si>
  <si>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</si>
  <si>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</si>
  <si>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</si>
  <si>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</si>
  <si>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</si>
  <si>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</si>
  <si>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</si>
  <si>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</si>
  <si>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</si>
  <si>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</si>
  <si>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</si>
  <si>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</si>
  <si>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</si>
  <si>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</si>
  <si>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</si>
  <si>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</si>
  <si>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</si>
  <si>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</si>
  <si>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</si>
  <si>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</si>
  <si>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</si>
  <si>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</si>
  <si>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</si>
  <si>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</si>
  <si>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</si>
  <si>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</si>
  <si>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</si>
  <si>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</si>
  <si>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</si>
  <si>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</si>
  <si>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</si>
  <si>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</si>
  <si>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</si>
  <si>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</si>
  <si>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</si>
  <si>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</si>
  <si>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</si>
  <si>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</si>
  <si>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</si>
  <si>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</si>
  <si>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</si>
  <si>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</si>
  <si>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</si>
  <si>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</si>
  <si>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</si>
  <si>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</si>
  <si>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</si>
  <si>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</si>
  <si>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</si>
  <si>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</si>
  <si>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</si>
  <si>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</si>
  <si>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</si>
  <si>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</si>
  <si>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</si>
  <si>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</si>
  <si>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</si>
  <si>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</si>
  <si>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</si>
  <si>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</si>
  <si>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</si>
  <si>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</si>
  <si>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</si>
  <si>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</si>
  <si>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</si>
  <si>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</si>
  <si>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</si>
  <si>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</si>
  <si>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</si>
  <si>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</si>
  <si>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</si>
  <si>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</si>
  <si>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</si>
  <si>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</si>
  <si>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</si>
  <si>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</si>
  <si>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</si>
  <si>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</si>
  <si>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</si>
  <si>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</si>
  <si>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</si>
  <si>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</si>
  <si>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</si>
  <si>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</si>
  <si>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</si>
  <si>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</si>
  <si>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</si>
  <si>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</si>
  <si>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</si>
  <si>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</si>
  <si>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</si>
  <si>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</si>
  <si>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</si>
  <si>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</si>
  <si>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</si>
  <si>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</si>
  <si>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</si>
  <si>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</si>
  <si>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</si>
  <si>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</si>
  <si>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</si>
  <si>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</si>
  <si>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</si>
  <si>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</si>
  <si>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</si>
  <si>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</si>
  <si>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</si>
  <si>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</si>
  <si>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</si>
  <si>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</si>
  <si>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</si>
  <si>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</si>
  <si>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</si>
  <si>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</si>
  <si>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</si>
  <si>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</si>
  <si>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</si>
  <si>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</si>
  <si>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</si>
  <si>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</si>
  <si>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</si>
  <si>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</si>
  <si>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</si>
  <si>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</si>
  <si>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</si>
  <si>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</si>
  <si>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</si>
  <si>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</si>
  <si>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</si>
  <si>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</si>
  <si>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</si>
  <si>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</si>
  <si>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</si>
  <si>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</si>
  <si>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</si>
  <si>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</si>
  <si>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</si>
  <si>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</si>
  <si>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</si>
  <si>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</si>
  <si>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</si>
  <si>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</si>
  <si>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</si>
  <si>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</si>
  <si>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</si>
  <si>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</si>
  <si>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</si>
  <si>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</si>
  <si>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</si>
  <si>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</si>
  <si>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</si>
  <si>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</si>
  <si>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</si>
  <si>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</si>
  <si>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</si>
  <si>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</si>
  <si>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</si>
  <si>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</si>
  <si>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</si>
  <si>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</si>
  <si>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</si>
  <si>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</si>
  <si>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</si>
  <si>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</si>
  <si>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</si>
  <si>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</si>
  <si>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</si>
  <si>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</si>
  <si>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</si>
  <si>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</si>
  <si>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</si>
  <si>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</si>
  <si>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</si>
  <si>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</si>
  <si>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</si>
  <si>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</si>
  <si>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</si>
  <si>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</si>
  <si>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</si>
  <si>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</si>
  <si>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</si>
  <si>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</si>
  <si>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</si>
  <si>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</si>
  <si>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</si>
  <si>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</si>
  <si>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</si>
  <si>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</si>
  <si>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</si>
  <si>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</si>
  <si>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</si>
  <si>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</si>
  <si>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</si>
  <si>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</si>
  <si>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</si>
  <si>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</si>
  <si>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</si>
  <si>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</si>
  <si>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</si>
  <si>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</si>
  <si>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</si>
  <si>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</si>
  <si>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</si>
  <si>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</si>
  <si>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</si>
  <si>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</si>
  <si>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</si>
  <si>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</si>
  <si>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</si>
  <si>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</si>
  <si>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</si>
  <si>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</si>
  <si>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</si>
  <si>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</si>
  <si>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</si>
  <si>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</si>
  <si>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</si>
  <si>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</si>
  <si>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</si>
  <si>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</si>
  <si>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</si>
  <si>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</si>
  <si>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</si>
  <si>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</si>
  <si>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</si>
  <si>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</si>
  <si>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</si>
  <si>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</si>
  <si>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</si>
  <si>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</si>
  <si>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</si>
  <si>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</si>
  <si>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</si>
  <si>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</si>
  <si>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</si>
  <si>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</si>
  <si>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</si>
  <si>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</si>
  <si>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</si>
  <si>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</si>
  <si>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</si>
  <si>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</si>
  <si>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</si>
  <si>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</si>
  <si>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</si>
  <si>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</si>
  <si>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</si>
  <si>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</si>
  <si>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</si>
  <si>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</si>
  <si>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</si>
  <si>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</si>
  <si>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</si>
  <si>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</si>
  <si>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</si>
  <si>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</si>
  <si>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</si>
  <si>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</si>
  <si>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</si>
  <si>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</si>
  <si>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</si>
  <si>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</si>
  <si>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</si>
  <si>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</si>
  <si>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</si>
  <si>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</si>
  <si>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</si>
  <si>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</si>
  <si>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</si>
  <si>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</si>
  <si>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</si>
  <si>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</si>
  <si>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</si>
  <si>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</si>
  <si>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</si>
  <si>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</si>
  <si>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</si>
  <si>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</si>
  <si>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</si>
  <si>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</si>
  <si>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</si>
  <si>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</si>
  <si>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</si>
  <si>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</si>
  <si>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</si>
  <si>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</si>
  <si>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</si>
  <si>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</si>
  <si>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</si>
  <si>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</si>
  <si>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</si>
  <si>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</si>
  <si>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</si>
  <si>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</si>
  <si>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</si>
  <si>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</si>
  <si>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</si>
  <si>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</si>
  <si>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</si>
  <si>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</si>
  <si>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</si>
  <si>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</si>
  <si>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</si>
  <si>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</si>
  <si>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</si>
  <si>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</si>
  <si>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</si>
  <si>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</si>
  <si>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</si>
  <si>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</si>
  <si>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</si>
  <si>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</si>
  <si>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</si>
  <si>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</si>
  <si>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</si>
  <si>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</si>
  <si>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</si>
  <si>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</si>
  <si>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</si>
  <si>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</si>
  <si>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</si>
  <si>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</si>
  <si>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</si>
  <si>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</si>
  <si>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</si>
  <si>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</si>
  <si>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</si>
  <si>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</si>
  <si>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</si>
  <si>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</si>
  <si>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</si>
  <si>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</si>
  <si>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</si>
  <si>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</si>
  <si>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</si>
  <si>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</si>
  <si>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</si>
  <si>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</si>
  <si>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</si>
  <si>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</si>
  <si>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</si>
  <si>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</si>
  <si>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</si>
  <si>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</si>
  <si>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</si>
  <si>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</si>
  <si>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</si>
  <si>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</si>
  <si>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</si>
  <si>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</si>
  <si>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</si>
  <si>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</si>
  <si>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</si>
  <si>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</si>
  <si>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</si>
  <si>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</si>
  <si>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</si>
  <si>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</si>
  <si>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</si>
  <si>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</si>
  <si>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</si>
  <si>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</si>
  <si>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</si>
  <si>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</si>
  <si>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</si>
  <si>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</si>
  <si>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</si>
  <si>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</si>
  <si>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</si>
  <si>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</si>
  <si>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</si>
  <si>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</si>
  <si>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</si>
  <si>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</si>
  <si>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</si>
  <si>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</si>
  <si>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</si>
  <si>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</si>
  <si>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</si>
  <si>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</si>
  <si>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</si>
  <si>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</si>
  <si>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</si>
  <si>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</si>
  <si>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</si>
  <si>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</si>
  <si>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</si>
  <si>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</si>
  <si>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</si>
  <si>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</si>
  <si>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</si>
  <si>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</si>
  <si>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</si>
  <si>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</si>
  <si>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</si>
  <si>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</si>
  <si>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</si>
  <si>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</si>
  <si>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</si>
  <si>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</si>
  <si>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</si>
  <si>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</si>
  <si>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</si>
  <si>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</si>
  <si>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</si>
  <si>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</si>
  <si>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</si>
  <si>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</si>
  <si>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</si>
  <si>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</si>
  <si>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</si>
  <si>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</si>
  <si>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</si>
  <si>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</si>
  <si>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</si>
  <si>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</si>
  <si>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</si>
  <si>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</si>
  <si>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</si>
  <si>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</si>
  <si>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</si>
  <si>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</si>
  <si>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</si>
  <si>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</si>
  <si>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</si>
  <si>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</si>
  <si>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</si>
  <si>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</si>
  <si>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</si>
  <si>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</si>
  <si>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</si>
  <si>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</si>
  <si>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</si>
  <si>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</si>
  <si>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</si>
  <si>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</si>
  <si>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</si>
  <si>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</si>
  <si>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</si>
  <si>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</si>
  <si>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</si>
  <si>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</si>
  <si>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</si>
  <si>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</si>
  <si>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</si>
  <si>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</si>
  <si>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</si>
  <si>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</si>
  <si>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</si>
  <si>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</si>
  <si>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</si>
  <si>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</si>
  <si>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</si>
  <si>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</si>
  <si>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</si>
  <si>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</si>
  <si>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</si>
  <si>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</si>
  <si>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</si>
  <si>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</si>
  <si>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</si>
  <si>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</si>
  <si>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</si>
  <si>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</si>
  <si>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</si>
  <si>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</si>
  <si>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</si>
  <si>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</si>
  <si>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</si>
  <si>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</si>
  <si>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</si>
  <si>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</si>
  <si>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</si>
  <si>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</si>
  <si>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</si>
  <si>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</si>
  <si>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</si>
  <si>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</si>
  <si>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</si>
  <si>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</si>
  <si>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</si>
  <si>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</si>
  <si>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</si>
  <si>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</si>
  <si>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</si>
  <si>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</si>
  <si>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</si>
  <si>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</si>
  <si>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</si>
  <si>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</si>
  <si>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</si>
  <si>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</si>
  <si>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</si>
  <si>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</si>
  <si>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</si>
  <si>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</si>
  <si>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</si>
  <si>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</si>
  <si>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</si>
  <si>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</si>
  <si>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</si>
  <si>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</si>
  <si>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</si>
  <si>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</si>
  <si>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</si>
  <si>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</si>
  <si>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</si>
  <si>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</si>
  <si>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</si>
  <si>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</si>
  <si>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</si>
  <si>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</si>
  <si>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</si>
  <si>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</si>
  <si>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</si>
  <si>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</si>
  <si>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</si>
  <si>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</si>
  <si>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</si>
  <si>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</si>
  <si>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</si>
  <si>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</si>
  <si>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</si>
  <si>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</si>
  <si>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</si>
  <si>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</si>
  <si>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</si>
  <si>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</si>
  <si>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</si>
  <si>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</si>
  <si>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</si>
  <si>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</si>
  <si>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</si>
  <si>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</si>
  <si>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</si>
  <si>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</si>
  <si>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</si>
  <si>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</si>
  <si>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</si>
  <si>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</si>
  <si>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</si>
  <si>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</si>
  <si>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</si>
  <si>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</si>
  <si>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</si>
  <si>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</si>
  <si>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</si>
  <si>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</si>
  <si>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</si>
  <si>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</si>
  <si>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</si>
  <si>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</si>
  <si>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</si>
  <si>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</si>
  <si>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</si>
  <si>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</si>
  <si>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</si>
  <si>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</si>
  <si>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</si>
  <si>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</si>
  <si>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</si>
  <si>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</si>
  <si>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</si>
  <si>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</si>
  <si>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</si>
  <si>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</si>
  <si>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</si>
  <si>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</si>
  <si>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</si>
  <si>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</si>
  <si>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</si>
  <si>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</si>
  <si>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</si>
  <si>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</si>
  <si>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</si>
  <si>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</si>
  <si>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</si>
  <si>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</si>
  <si>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</si>
  <si>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</si>
  <si>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</si>
  <si>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</si>
  <si>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</si>
  <si>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</si>
  <si>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</si>
  <si>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</si>
  <si>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</si>
  <si>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</si>
  <si>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</si>
  <si>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</si>
  <si>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</si>
  <si>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</si>
  <si>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</si>
  <si>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</si>
  <si>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</si>
  <si>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</si>
  <si>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</si>
  <si>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</si>
  <si>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</si>
  <si>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</si>
  <si>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</si>
  <si>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</si>
  <si>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</si>
  <si>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</si>
  <si>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</si>
  <si>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</si>
  <si>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</si>
  <si>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</si>
  <si>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</si>
  <si>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</si>
  <si>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</si>
  <si>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</si>
  <si>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</si>
  <si>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</si>
  <si>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</si>
  <si>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</si>
  <si>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</si>
  <si>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</si>
  <si>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</si>
  <si>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</si>
  <si>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</si>
  <si>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</si>
  <si>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</si>
  <si>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</si>
  <si>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</si>
  <si>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</si>
  <si>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</si>
  <si>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</si>
  <si>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</si>
  <si>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</si>
  <si>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</si>
  <si>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</si>
  <si>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</si>
  <si>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</si>
  <si>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</si>
  <si>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</si>
  <si>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</si>
  <si>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</si>
  <si>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</si>
  <si>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</si>
  <si>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</si>
  <si>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</si>
  <si>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</si>
  <si>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</si>
  <si>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</si>
  <si>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</si>
  <si>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</si>
  <si>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</si>
  <si>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</si>
  <si>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</si>
  <si>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</si>
  <si>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</si>
  <si>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</si>
  <si>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</si>
  <si>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</si>
  <si>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</si>
  <si>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</si>
  <si>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</si>
  <si>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</si>
  <si>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</si>
  <si>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</si>
  <si>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</si>
  <si>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</si>
  <si>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</si>
  <si>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</si>
  <si>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</si>
  <si>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</si>
  <si>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</si>
  <si>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</si>
  <si>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</si>
  <si>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</si>
  <si>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</si>
  <si>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</si>
  <si>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</si>
  <si>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</si>
  <si>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</si>
  <si>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</si>
  <si>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</si>
  <si>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</si>
  <si>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</si>
  <si>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</si>
  <si>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</si>
  <si>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</si>
  <si>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</si>
  <si>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</si>
  <si>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</si>
  <si>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</si>
  <si>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</si>
  <si>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</si>
  <si>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</si>
  <si>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</si>
  <si>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</si>
  <si>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</si>
  <si>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</si>
  <si>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</si>
  <si>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</si>
  <si>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</si>
  <si>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</si>
  <si>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</si>
  <si>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</si>
  <si>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</si>
  <si>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</si>
  <si>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</si>
  <si>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</si>
  <si>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</si>
  <si>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</si>
  <si>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</si>
  <si>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</si>
  <si>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</si>
  <si>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</si>
  <si>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</si>
  <si>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</si>
  <si>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</si>
  <si>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</si>
  <si>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</si>
  <si>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</si>
  <si>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</si>
  <si>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</si>
  <si>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</si>
  <si>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</si>
  <si>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</si>
  <si>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</si>
  <si>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</si>
  <si>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</si>
  <si>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</si>
  <si>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</si>
  <si>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</si>
  <si>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</si>
  <si>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</si>
  <si>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</si>
  <si>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</si>
  <si>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</si>
  <si>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</si>
  <si>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</si>
  <si>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</si>
  <si>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</si>
  <si>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</si>
  <si>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</si>
  <si>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</si>
  <si>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</si>
  <si>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</si>
  <si>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</si>
  <si>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</si>
  <si>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</si>
  <si>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</si>
  <si>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</si>
  <si>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</si>
  <si>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</si>
  <si>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</si>
  <si>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</si>
  <si>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</si>
  <si>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</si>
  <si>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</si>
  <si>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</si>
  <si>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</si>
  <si>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</si>
  <si>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</si>
  <si>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</si>
  <si>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</si>
  <si>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</si>
  <si>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</si>
  <si>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</si>
  <si>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</si>
  <si>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</si>
  <si>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</si>
  <si>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</si>
  <si>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</si>
  <si>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</si>
  <si>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</si>
  <si>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</si>
  <si>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</si>
  <si>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</si>
  <si>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</si>
  <si>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</si>
  <si>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</si>
  <si>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</si>
  <si>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</si>
  <si>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</si>
  <si>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</si>
  <si>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</si>
  <si>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</si>
  <si>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</si>
  <si>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</si>
  <si>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</si>
  <si>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</si>
  <si>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</si>
  <si>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</si>
  <si>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</si>
  <si>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</si>
  <si>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</si>
  <si>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</si>
  <si>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</si>
  <si>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</si>
  <si>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</si>
  <si>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</si>
  <si>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</si>
  <si>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</si>
  <si>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</si>
  <si>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</si>
  <si>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</si>
  <si>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</si>
  <si>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</si>
  <si>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</si>
  <si>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</si>
  <si>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</si>
  <si>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</si>
  <si>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</si>
  <si>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</si>
  <si>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</si>
  <si>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</si>
  <si>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</si>
  <si>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</si>
  <si>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</si>
  <si>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</si>
  <si>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</si>
  <si>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</si>
  <si>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</si>
  <si>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</si>
  <si>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</si>
  <si>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</si>
  <si>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</si>
  <si>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</si>
  <si>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</si>
  <si>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</si>
  <si>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</si>
  <si>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</si>
  <si>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</si>
  <si>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</si>
  <si>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</si>
  <si>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</si>
  <si>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</si>
  <si>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</si>
  <si>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</si>
  <si>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</si>
  <si>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</si>
  <si>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</si>
  <si>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</si>
  <si>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</si>
  <si>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</si>
  <si>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</si>
  <si>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</si>
  <si>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</si>
  <si>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</si>
  <si>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</si>
  <si>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</si>
  <si>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</si>
  <si>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</si>
  <si>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</si>
  <si>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</si>
  <si>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</si>
  <si>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</si>
  <si>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</si>
  <si>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</si>
  <si>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</si>
  <si>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</si>
  <si>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</si>
  <si>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</si>
  <si>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</si>
  <si>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</si>
  <si>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</si>
  <si>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</si>
  <si>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</si>
  <si>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</si>
  <si>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</si>
  <si>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</si>
  <si>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</si>
  <si>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</si>
  <si>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</si>
  <si>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</si>
  <si>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</si>
  <si>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</si>
  <si>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</si>
  <si>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</si>
  <si>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</si>
  <si>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</si>
  <si>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</si>
  <si>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</si>
  <si>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</si>
  <si>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</si>
  <si>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</si>
  <si>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</si>
  <si>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</si>
  <si>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</si>
  <si>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</si>
  <si>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</si>
  <si>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</si>
  <si>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</si>
  <si>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</si>
  <si>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</si>
  <si>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</si>
  <si>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</si>
  <si>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</si>
  <si>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</si>
  <si>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</si>
  <si>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</si>
  <si>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</si>
  <si>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</si>
  <si>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</si>
  <si>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</si>
  <si>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</si>
  <si>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</si>
  <si>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</si>
  <si>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</si>
  <si>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</si>
  <si>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</si>
  <si>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</si>
  <si>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</si>
  <si>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</si>
  <si>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</si>
  <si>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</si>
  <si>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</si>
  <si>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</si>
  <si>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</si>
  <si>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</si>
  <si>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</si>
  <si>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</si>
  <si>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</si>
  <si>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</si>
  <si>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</si>
  <si>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</si>
  <si>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</si>
  <si>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</si>
  <si>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</si>
  <si>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</si>
  <si>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</si>
  <si>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</si>
  <si>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</si>
  <si>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</si>
  <si>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</si>
  <si>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</si>
  <si>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</si>
  <si>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</si>
  <si>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</si>
  <si>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</si>
  <si>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</si>
  <si>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</si>
  <si>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</si>
  <si>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</si>
  <si>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</si>
  <si>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</si>
  <si>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</si>
  <si>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</si>
  <si>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</si>
  <si>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</si>
  <si>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</si>
  <si>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</si>
  <si>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</si>
  <si>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</si>
  <si>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</si>
  <si>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</si>
  <si>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</si>
  <si>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</si>
  <si>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</si>
  <si>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</si>
  <si>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</si>
  <si>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</si>
  <si>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</si>
  <si>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</si>
  <si>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</si>
  <si>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</si>
  <si>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</si>
  <si>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</si>
  <si>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</si>
  <si>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</si>
  <si>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</si>
  <si>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</si>
  <si>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</si>
  <si>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</si>
  <si>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</si>
  <si>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</si>
  <si>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</si>
  <si>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</si>
  <si>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</si>
  <si>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</si>
  <si>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</si>
  <si>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</si>
  <si>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</si>
  <si>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</si>
  <si>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</si>
  <si>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</si>
  <si>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</si>
  <si>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</si>
  <si>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</si>
  <si>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</si>
  <si>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</si>
  <si>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</si>
  <si>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</si>
  <si>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</si>
  <si>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</si>
  <si>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</si>
  <si>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</si>
  <si>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</si>
  <si>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</si>
  <si>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</si>
  <si>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</si>
  <si>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</si>
  <si>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</si>
  <si>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</si>
  <si>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</si>
  <si>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</si>
  <si>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</si>
  <si>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</si>
  <si>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</si>
  <si>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</si>
  <si>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</si>
  <si>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</si>
  <si>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</si>
  <si>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</si>
  <si>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</si>
  <si>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</si>
  <si>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</si>
  <si>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</si>
  <si>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</si>
  <si>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</si>
  <si>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</si>
  <si>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</si>
  <si>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</si>
  <si>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</si>
  <si>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</si>
  <si>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</si>
  <si>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</si>
  <si>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</si>
  <si>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</si>
  <si>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</si>
  <si>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</si>
  <si>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</si>
  <si>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</si>
  <si>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</si>
  <si>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</si>
  <si>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</si>
  <si>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</si>
  <si>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</si>
  <si>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</si>
  <si>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</si>
  <si>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</si>
  <si>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</si>
  <si>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</si>
  <si>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</si>
  <si>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</si>
  <si>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</si>
  <si>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</si>
  <si>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</si>
  <si>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</si>
  <si>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</si>
  <si>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</si>
  <si>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</si>
  <si>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</si>
  <si>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</si>
  <si>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</si>
  <si>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</si>
  <si>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</si>
  <si>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</si>
  <si>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</si>
  <si>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</si>
  <si>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</si>
  <si>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</si>
  <si>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</si>
  <si>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</si>
  <si>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</si>
  <si>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</si>
  <si>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</si>
  <si>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</si>
  <si>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</si>
  <si>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</si>
  <si>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</si>
  <si>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</si>
  <si>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</si>
  <si>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</si>
  <si>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</si>
  <si>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</si>
  <si>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</si>
  <si>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</si>
  <si>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</si>
  <si>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</si>
  <si>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</si>
  <si>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</si>
  <si>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</si>
  <si>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</si>
  <si>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</si>
  <si>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</si>
  <si>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</si>
  <si>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</si>
  <si>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</si>
  <si>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</si>
  <si>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</si>
  <si>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</si>
  <si>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</si>
  <si>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</si>
  <si>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</si>
  <si>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</si>
  <si>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</si>
  <si>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</si>
  <si>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</si>
  <si>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</si>
  <si>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</si>
  <si>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</si>
  <si>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</si>
  <si>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</si>
  <si>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</si>
  <si>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</si>
  <si>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</si>
  <si>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</si>
  <si>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</si>
  <si>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</si>
  <si>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</si>
  <si>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</si>
  <si>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</si>
  <si>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</si>
  <si>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</si>
  <si>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</si>
  <si>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</si>
  <si>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</si>
  <si>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</si>
  <si>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</si>
  <si>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</si>
  <si>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</si>
  <si>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</si>
  <si>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</si>
  <si>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</si>
  <si>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</si>
  <si>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</si>
  <si>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</si>
  <si>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</si>
  <si>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</si>
  <si>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</si>
  <si>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</si>
  <si>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</si>
  <si>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</si>
  <si>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</si>
  <si>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</si>
  <si>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</si>
  <si>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</si>
  <si>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</si>
  <si>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</si>
  <si>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</si>
  <si>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</si>
  <si>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</si>
  <si>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</si>
  <si>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</si>
  <si>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</si>
  <si>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</si>
  <si>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</si>
  <si>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</si>
  <si>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</si>
  <si>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</si>
  <si>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</si>
  <si>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</si>
  <si>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</si>
  <si>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</si>
  <si>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</si>
  <si>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</si>
  <si>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</si>
  <si>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</si>
  <si>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</si>
  <si>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</si>
  <si>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</si>
  <si>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</si>
  <si>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</si>
  <si>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</si>
  <si>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</si>
  <si>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</si>
  <si>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</si>
  <si>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</si>
  <si>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</si>
  <si>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</si>
  <si>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</si>
  <si>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</si>
  <si>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</si>
  <si>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</si>
  <si>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</si>
  <si>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</si>
  <si>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</si>
  <si>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</si>
  <si>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</si>
  <si>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</si>
  <si>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</si>
  <si>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</si>
  <si>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</si>
  <si>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</si>
  <si>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</si>
  <si>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</si>
  <si>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</si>
  <si>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</si>
  <si>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</si>
  <si>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</si>
  <si>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</si>
  <si>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</si>
  <si>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</si>
  <si>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</si>
  <si>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</si>
  <si>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</si>
  <si>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</si>
  <si>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</si>
  <si>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</si>
  <si>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</si>
  <si>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</si>
  <si>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</si>
  <si>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</si>
  <si>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</si>
  <si>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</si>
  <si>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</si>
  <si>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</si>
  <si>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</si>
  <si>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</si>
  <si>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</si>
  <si>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</si>
  <si>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</si>
  <si>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</si>
  <si>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</si>
  <si>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</si>
  <si>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</si>
  <si>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</si>
  <si>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</si>
  <si>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</si>
  <si>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</si>
  <si>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</si>
  <si>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</si>
  <si>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</si>
  <si>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</si>
  <si>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</si>
  <si>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</si>
  <si>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</si>
  <si>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</si>
  <si>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</si>
  <si>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</si>
  <si>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</si>
  <si>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</si>
  <si>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</si>
  <si>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</si>
  <si>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</si>
  <si>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</si>
  <si>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</si>
  <si>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</si>
  <si>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</si>
  <si>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</si>
  <si>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</si>
  <si>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</si>
  <si>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</si>
  <si>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</si>
  <si>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</si>
  <si>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</si>
  <si>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</si>
  <si>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</si>
  <si>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</si>
  <si>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</si>
  <si>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</si>
  <si>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</si>
  <si>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</si>
  <si>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</si>
  <si>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</si>
  <si>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</si>
  <si>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</si>
  <si>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</si>
  <si>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</si>
  <si>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</si>
  <si>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</si>
  <si>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</si>
  <si>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</si>
  <si>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</si>
  <si>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</si>
  <si>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</si>
  <si>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</si>
  <si>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</si>
  <si>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</si>
  <si>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</si>
  <si>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</si>
  <si>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</si>
  <si>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</si>
  <si>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</si>
  <si>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</si>
  <si>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</si>
  <si>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</si>
  <si>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</si>
  <si>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</si>
  <si>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</si>
  <si>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</si>
  <si>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</si>
  <si>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</si>
  <si>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</si>
  <si>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</si>
  <si>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</si>
  <si>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</si>
  <si>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</si>
  <si>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</si>
  <si>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</si>
  <si>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</si>
  <si>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</si>
  <si>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</si>
  <si>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</si>
  <si>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</si>
  <si>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</si>
  <si>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</si>
  <si>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</si>
  <si>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</si>
  <si>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</si>
  <si>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</si>
  <si>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</si>
  <si>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</si>
  <si>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</si>
  <si>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</si>
  <si>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</si>
  <si>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</si>
  <si>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</si>
  <si>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</si>
  <si>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</si>
  <si>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</si>
  <si>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</si>
  <si>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</si>
  <si>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</si>
  <si>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</si>
  <si>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</si>
  <si>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</si>
  <si>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</si>
  <si>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</si>
  <si>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</si>
  <si>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</si>
  <si>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</si>
  <si>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</si>
  <si>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</si>
  <si>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</si>
  <si>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</si>
  <si>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</si>
  <si>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</si>
  <si>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</si>
  <si>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</si>
  <si>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</si>
  <si>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</si>
  <si>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</si>
  <si>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</si>
  <si>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</si>
  <si>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</si>
  <si>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</si>
  <si>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</si>
  <si>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</si>
  <si>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</si>
  <si>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</si>
  <si>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</si>
  <si>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</si>
  <si>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</si>
  <si>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</si>
  <si>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</si>
  <si>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</si>
  <si>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</si>
  <si>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</si>
  <si>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</si>
  <si>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</si>
  <si>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</si>
  <si>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</si>
  <si>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</si>
  <si>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</si>
  <si>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</si>
  <si>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</si>
  <si>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</si>
  <si>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</si>
  <si>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</si>
  <si>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</si>
  <si>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</si>
  <si>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</si>
  <si>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</si>
  <si>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</si>
  <si>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</si>
  <si>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</si>
  <si>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</si>
  <si>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</si>
  <si>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</si>
  <si>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</si>
  <si>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</si>
  <si>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</si>
  <si>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</si>
  <si>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</si>
  <si>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</si>
  <si>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</si>
  <si>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</si>
  <si>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</si>
  <si>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</si>
  <si>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</si>
  <si>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</si>
  <si>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</si>
  <si>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</si>
  <si>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</si>
  <si>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</si>
  <si>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</si>
  <si>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</si>
  <si>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</si>
  <si>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</si>
  <si>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</si>
  <si>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</si>
  <si>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</si>
  <si>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</si>
  <si>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</si>
  <si>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</si>
  <si>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</si>
  <si>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</si>
  <si>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</si>
  <si>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</si>
  <si>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</si>
  <si>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</si>
  <si>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</si>
  <si>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</si>
  <si>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</si>
  <si>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</si>
  <si>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</si>
  <si>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</si>
  <si>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</si>
  <si>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</si>
  <si>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</si>
  <si>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</si>
  <si>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</si>
  <si>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</si>
  <si>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</si>
  <si>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</si>
  <si>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</si>
  <si>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</si>
  <si>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</si>
  <si>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</si>
  <si>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</si>
  <si>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</si>
  <si>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</si>
  <si>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</si>
  <si>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</si>
  <si>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</si>
  <si>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</si>
  <si>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</si>
  <si>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</si>
  <si>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</si>
  <si>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</si>
  <si>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</si>
  <si>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</si>
  <si>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</si>
  <si>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</si>
  <si>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</si>
  <si>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</si>
  <si>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</si>
  <si>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</si>
  <si>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</si>
  <si>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</si>
  <si>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</si>
  <si>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</si>
  <si>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</si>
  <si>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</si>
  <si>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</si>
  <si>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</si>
  <si>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</si>
  <si>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</si>
  <si>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</si>
  <si>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</si>
  <si>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</si>
  <si>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</si>
  <si>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</si>
  <si>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</si>
  <si>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</si>
  <si>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</si>
  <si>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</si>
  <si>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</si>
  <si>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</si>
  <si>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</si>
  <si>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</si>
  <si>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</si>
  <si>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</si>
  <si>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</si>
  <si>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</si>
  <si>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</si>
  <si>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</si>
  <si>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</si>
  <si>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</si>
  <si>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</si>
  <si>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</si>
  <si>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</si>
  <si>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</si>
  <si>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</si>
  <si>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</si>
  <si>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</si>
  <si>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</si>
  <si>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</si>
  <si>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</si>
  <si>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</si>
  <si>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</si>
  <si>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</si>
  <si>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</si>
  <si>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</si>
  <si>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</si>
  <si>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</si>
  <si>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</si>
  <si>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</si>
  <si>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</si>
  <si>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</si>
  <si>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</si>
  <si>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</si>
  <si>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</si>
  <si>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</si>
  <si>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</si>
  <si>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</si>
  <si>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</si>
  <si>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</si>
  <si>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</si>
  <si>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</si>
  <si>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</si>
  <si>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</si>
  <si>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</si>
  <si>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</si>
  <si>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</si>
  <si>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</si>
  <si>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</si>
  <si>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</si>
  <si>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</si>
  <si>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</si>
  <si>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</si>
  <si>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</si>
  <si>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</si>
  <si>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</si>
  <si>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</si>
  <si>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</si>
  <si>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</si>
  <si>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</si>
  <si>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</si>
  <si>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</si>
  <si>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</si>
  <si>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</si>
  <si>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</si>
  <si>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</si>
  <si>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</si>
  <si>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</si>
  <si>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</si>
  <si>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</si>
  <si>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</si>
  <si>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</si>
  <si>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</si>
  <si>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</si>
  <si>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</si>
  <si>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</si>
  <si>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</si>
  <si>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</si>
  <si>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</si>
  <si>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</si>
  <si>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</si>
  <si>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</si>
  <si>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</si>
  <si>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</si>
  <si>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</si>
  <si>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</si>
  <si>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</si>
  <si>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</si>
  <si>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</si>
  <si>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</si>
  <si>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</si>
  <si>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</si>
  <si>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</si>
  <si>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</si>
  <si>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</si>
  <si>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</si>
  <si>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</si>
  <si>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</si>
  <si>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</si>
  <si>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</si>
  <si>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</si>
  <si>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</si>
  <si>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</si>
  <si>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</si>
  <si>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</si>
  <si>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</si>
  <si>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</si>
  <si>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</si>
  <si>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</si>
  <si>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</si>
  <si>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</si>
  <si>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</si>
  <si>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</si>
  <si>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</si>
  <si>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</si>
  <si>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</si>
  <si>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</si>
  <si>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</si>
  <si>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</si>
  <si>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</si>
  <si>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</si>
  <si>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</si>
  <si>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</si>
  <si>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</si>
  <si>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</si>
  <si>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</si>
  <si>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</si>
  <si>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</si>
  <si>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</si>
  <si>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</si>
  <si>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</si>
  <si>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</si>
  <si>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</si>
  <si>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</si>
  <si>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</si>
  <si>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</si>
  <si>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</si>
  <si>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</si>
  <si>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</si>
  <si>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</si>
  <si>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</si>
  <si>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</si>
  <si>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</si>
  <si>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</si>
  <si>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</si>
  <si>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</si>
  <si>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</si>
  <si>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</si>
  <si>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</si>
  <si>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</si>
  <si>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</si>
  <si>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</si>
  <si>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</si>
  <si>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</si>
  <si>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</si>
  <si>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</si>
  <si>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</si>
  <si>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</si>
  <si>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</si>
  <si>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</si>
  <si>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</si>
  <si>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</si>
  <si>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</si>
  <si>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</si>
  <si>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</si>
  <si>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</si>
  <si>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</si>
  <si>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</si>
  <si>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</si>
  <si>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</si>
  <si>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</si>
  <si>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</si>
  <si>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</si>
  <si>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</si>
  <si>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</si>
  <si>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</si>
  <si>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</si>
  <si>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</si>
  <si>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</si>
  <si>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</si>
  <si>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</si>
  <si>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</si>
  <si>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</si>
  <si>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</si>
  <si>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</si>
  <si>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</si>
  <si>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</si>
  <si>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</si>
  <si>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</si>
  <si>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</si>
  <si>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</si>
  <si>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</si>
  <si>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</si>
  <si>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</si>
  <si>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</si>
  <si>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</si>
  <si>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</si>
  <si>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</si>
  <si>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</si>
  <si>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</si>
  <si>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</si>
  <si>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</si>
  <si>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</si>
  <si>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</si>
  <si>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</si>
  <si>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</si>
  <si>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</si>
  <si>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</si>
  <si>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</si>
  <si>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</si>
  <si>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</si>
  <si>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</si>
  <si>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</si>
  <si>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</si>
  <si>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</si>
  <si>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</si>
  <si>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</si>
  <si>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</si>
  <si>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</si>
  <si>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</si>
  <si>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</si>
  <si>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</si>
  <si>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</si>
  <si>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</si>
  <si>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</si>
  <si>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</si>
  <si>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</si>
  <si>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</si>
  <si>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</si>
  <si>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</si>
  <si>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</si>
  <si>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</si>
  <si>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</si>
  <si>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</si>
  <si>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</si>
  <si>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</si>
  <si>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</si>
  <si>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</si>
  <si>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</si>
  <si>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</si>
  <si>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</si>
  <si>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</si>
  <si>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</si>
  <si>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</si>
  <si>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</si>
  <si>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</si>
  <si>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</si>
  <si>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</si>
  <si>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</si>
  <si>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</si>
  <si>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</si>
  <si>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</si>
  <si>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</si>
  <si>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</si>
  <si>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</si>
  <si>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</si>
  <si>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</si>
  <si>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</si>
  <si>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</si>
  <si>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</si>
  <si>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</si>
  <si>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</si>
  <si>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</si>
  <si>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</si>
  <si>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</si>
  <si>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</si>
  <si>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</si>
  <si>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</si>
  <si>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</si>
  <si>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</si>
  <si>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</si>
  <si>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</si>
  <si>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</si>
  <si>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</si>
  <si>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</si>
  <si>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</si>
  <si>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</si>
  <si>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</si>
  <si>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</si>
  <si>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</si>
  <si>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</si>
  <si>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</si>
  <si>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</si>
  <si>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</si>
  <si>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</si>
  <si>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</si>
  <si>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</si>
  <si>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</si>
  <si>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</si>
  <si>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</si>
  <si>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</si>
  <si>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</si>
  <si>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</si>
  <si>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</si>
  <si>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</si>
  <si>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</si>
  <si>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</si>
  <si>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</si>
  <si>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</si>
  <si>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</si>
  <si>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</si>
  <si>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</si>
  <si>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</si>
  <si>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</si>
  <si>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</si>
  <si>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</si>
  <si>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</si>
  <si>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</si>
  <si>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</si>
  <si>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</si>
  <si>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</si>
  <si>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</si>
  <si>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</si>
  <si>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</si>
  <si>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</si>
  <si>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</si>
  <si>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</si>
  <si>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</si>
  <si>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</si>
  <si>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</si>
  <si>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</si>
  <si>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</si>
  <si>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</si>
  <si>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</si>
  <si>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</si>
  <si>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</si>
  <si>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</si>
  <si>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</si>
  <si>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</si>
  <si>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</si>
  <si>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</si>
  <si>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</si>
  <si>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</si>
  <si>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</si>
  <si>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</si>
  <si>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</si>
  <si>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</si>
  <si>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</si>
  <si>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</si>
  <si>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</si>
  <si>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</si>
  <si>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</si>
  <si>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</si>
  <si>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</si>
  <si>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</si>
  <si>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</si>
  <si>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</si>
  <si>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</si>
  <si>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</si>
  <si>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</si>
  <si>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</si>
  <si>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</si>
  <si>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</si>
  <si>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</si>
  <si>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</si>
  <si>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</si>
  <si>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</si>
  <si>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</si>
  <si>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</si>
  <si>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</si>
  <si>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</si>
  <si>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</si>
  <si>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</si>
  <si>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</si>
  <si>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</si>
  <si>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</si>
  <si>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</si>
  <si>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</si>
  <si>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</si>
  <si>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</si>
  <si>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</si>
  <si>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</si>
  <si>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</si>
  <si>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</si>
  <si>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</si>
  <si>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</si>
  <si>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</si>
  <si>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</si>
  <si>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</si>
  <si>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</si>
  <si>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</si>
  <si>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</si>
  <si>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</si>
  <si>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</si>
  <si>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</si>
  <si>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</si>
  <si>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</si>
  <si>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</si>
  <si>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</si>
  <si>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</si>
  <si>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</si>
  <si>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</si>
  <si>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</si>
  <si>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</si>
  <si>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</si>
  <si>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</si>
  <si>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</si>
  <si>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</si>
  <si>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</si>
  <si>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</si>
  <si>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</si>
  <si>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</si>
  <si>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</si>
  <si>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</si>
  <si>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</si>
  <si>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</si>
  <si>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</si>
  <si>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</si>
  <si>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</si>
  <si>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</si>
  <si>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</si>
  <si>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</si>
  <si>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</si>
  <si>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</si>
  <si>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</si>
  <si>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</si>
  <si>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</si>
  <si>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</si>
  <si>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</si>
  <si>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</si>
  <si>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</si>
  <si>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</si>
  <si>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</si>
  <si>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</si>
  <si>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</si>
  <si>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</si>
  <si>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</si>
  <si>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</si>
  <si>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</si>
  <si>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</si>
  <si>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</si>
  <si>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</si>
  <si>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</si>
  <si>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</si>
  <si>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</si>
  <si>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</si>
  <si>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</si>
  <si>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</si>
  <si>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</si>
  <si>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</si>
  <si>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</si>
  <si>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</si>
  <si>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</si>
  <si>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</si>
  <si>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</si>
  <si>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</si>
  <si>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</si>
  <si>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</si>
  <si>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</si>
  <si>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</si>
  <si>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</si>
  <si>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</si>
  <si>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</si>
  <si>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</si>
  <si>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</si>
  <si>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</si>
  <si>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</si>
  <si>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</si>
  <si>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</si>
  <si>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</si>
  <si>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</si>
  <si>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</si>
  <si>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</si>
  <si>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</si>
  <si>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</si>
  <si>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</si>
  <si>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</si>
  <si>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</si>
  <si>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</si>
  <si>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</si>
  <si>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</si>
  <si>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</si>
  <si>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</si>
  <si>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</si>
  <si>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</si>
  <si>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</si>
  <si>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</si>
  <si>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</si>
  <si>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</si>
  <si>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</si>
  <si>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</si>
  <si>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</si>
  <si>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</si>
  <si>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</si>
  <si>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</si>
  <si>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</si>
  <si>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</si>
  <si>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</si>
  <si>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</si>
  <si>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</si>
  <si>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</si>
  <si>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</si>
  <si>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</si>
  <si>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</si>
  <si>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</si>
  <si>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</si>
  <si>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</si>
  <si>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</si>
  <si>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</si>
  <si>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</si>
  <si>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</si>
  <si>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</si>
  <si>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</si>
  <si>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</si>
  <si>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</si>
  <si>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</si>
  <si>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</si>
  <si>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</si>
  <si>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</si>
  <si>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</si>
  <si>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</si>
  <si>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</si>
  <si>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</si>
  <si>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</si>
  <si>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</si>
  <si>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</si>
  <si>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</si>
  <si>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</si>
  <si>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</si>
  <si>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</si>
  <si>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</si>
  <si>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</si>
  <si>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</si>
  <si>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</si>
  <si>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</si>
  <si>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</si>
  <si>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</si>
  <si>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</si>
  <si>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</si>
  <si>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</si>
  <si>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</si>
  <si>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</si>
  <si>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</si>
  <si>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</si>
  <si>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</si>
  <si>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</si>
  <si>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</si>
  <si>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</si>
  <si>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</si>
  <si>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</si>
  <si>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</si>
  <si>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</si>
  <si>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</si>
  <si>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</si>
  <si>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</si>
  <si>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</si>
  <si>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</si>
  <si>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</si>
  <si>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</si>
  <si>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</si>
  <si>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</si>
  <si>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</si>
  <si>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</si>
  <si>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</si>
  <si>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</si>
  <si>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</si>
  <si>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</si>
  <si>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</si>
  <si>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</si>
  <si>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</si>
  <si>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</si>
  <si>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</si>
  <si>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</si>
  <si>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</si>
  <si>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</si>
  <si>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</si>
  <si>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</si>
  <si>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</si>
  <si>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</si>
  <si>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</si>
  <si>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</si>
  <si>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</si>
  <si>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</si>
  <si>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</si>
  <si>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</si>
  <si>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</si>
  <si>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</si>
  <si>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</si>
  <si>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</si>
  <si>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</si>
  <si>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</si>
  <si>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</si>
  <si>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</si>
  <si>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</si>
  <si>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</si>
  <si>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</si>
  <si>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</si>
  <si>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</si>
  <si>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</si>
  <si>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</si>
  <si>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</si>
  <si>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</si>
  <si>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</si>
  <si>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</si>
  <si>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</si>
  <si>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</si>
  <si>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</si>
  <si>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</si>
  <si>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</si>
  <si>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</si>
  <si>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</si>
  <si>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</si>
  <si>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</si>
  <si>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</si>
  <si>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</si>
  <si>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</si>
  <si>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</si>
  <si>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</si>
  <si>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</si>
  <si>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</si>
  <si>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</si>
  <si>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</si>
  <si>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</si>
  <si>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</si>
  <si>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</si>
  <si>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</si>
  <si>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</si>
  <si>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</si>
  <si>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</si>
  <si>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</si>
  <si>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</si>
  <si>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</si>
  <si>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</si>
  <si>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</si>
  <si>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</si>
  <si>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</si>
  <si>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</si>
  <si>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</si>
  <si>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</si>
  <si>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</si>
  <si>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</si>
  <si>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</si>
  <si>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</si>
  <si>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</si>
  <si>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</si>
  <si>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</si>
  <si>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</si>
  <si>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</si>
  <si>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</si>
  <si>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</si>
  <si>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</si>
  <si>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</si>
  <si>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</si>
  <si>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</si>
  <si>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</si>
  <si>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</si>
  <si>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</si>
  <si>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</si>
  <si>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</si>
  <si>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</si>
  <si>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</si>
  <si>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</si>
  <si>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</si>
  <si>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</si>
  <si>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</si>
  <si>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</si>
  <si>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</si>
  <si>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</si>
  <si>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</si>
  <si>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</si>
  <si>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</si>
  <si>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</si>
  <si>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</si>
  <si>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</si>
  <si>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</si>
  <si>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</si>
  <si>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</si>
  <si>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</si>
  <si>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</si>
  <si>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</si>
  <si>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</si>
  <si>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</si>
  <si>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</si>
  <si>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</si>
  <si>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</si>
  <si>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</si>
  <si>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</si>
  <si>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</si>
  <si>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</si>
  <si>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</si>
  <si>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</si>
  <si>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</si>
  <si>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</si>
  <si>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</si>
  <si>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</si>
  <si>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</si>
  <si>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</si>
  <si>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</si>
  <si>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</si>
  <si>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</si>
  <si>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</si>
  <si>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</si>
  <si>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</si>
  <si>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</si>
  <si>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</si>
  <si>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</si>
  <si>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</si>
  <si>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</si>
  <si>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</si>
  <si>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</si>
  <si>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</si>
  <si>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</si>
  <si>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</si>
  <si>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</si>
  <si>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</si>
  <si>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</si>
  <si>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</si>
  <si>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</si>
  <si>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</si>
  <si>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</si>
  <si>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</si>
  <si>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</si>
  <si>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</si>
  <si>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</si>
  <si>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</si>
  <si>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</si>
  <si>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</si>
  <si>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</si>
  <si>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</si>
  <si>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</si>
  <si>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</si>
  <si>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</si>
  <si>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</si>
  <si>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</si>
  <si>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</si>
  <si>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</si>
  <si>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</si>
  <si>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</si>
  <si>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</si>
  <si>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</si>
  <si>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</si>
  <si>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</si>
  <si>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</si>
  <si>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</si>
  <si>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</si>
  <si>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</si>
  <si>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</si>
  <si>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</si>
  <si>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</si>
  <si>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</si>
  <si>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</si>
  <si>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</si>
  <si>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</si>
  <si>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</si>
  <si>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</si>
  <si>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</si>
  <si>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</si>
  <si>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</si>
  <si>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</si>
  <si>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</si>
  <si>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</si>
  <si>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</si>
  <si>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</si>
  <si>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</si>
  <si>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</si>
  <si>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</si>
  <si>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</si>
  <si>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</si>
  <si>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</si>
  <si>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</si>
  <si>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</si>
  <si>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</si>
  <si>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</si>
  <si>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</si>
  <si>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</si>
  <si>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</si>
  <si>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</si>
  <si>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</si>
  <si>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</si>
  <si>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</si>
  <si>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</si>
  <si>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</si>
  <si>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</si>
  <si>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</si>
  <si>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</si>
  <si>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</si>
  <si>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</si>
  <si>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</si>
  <si>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</si>
  <si>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</si>
  <si>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</si>
  <si>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</si>
  <si>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</si>
  <si>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</si>
  <si>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</si>
  <si>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</si>
  <si>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</si>
  <si>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</si>
  <si>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</si>
  <si>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</si>
  <si>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</si>
  <si>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</si>
  <si>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</si>
  <si>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</si>
  <si>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</si>
  <si>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</si>
  <si>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</si>
  <si>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</si>
  <si>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</si>
  <si>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</si>
  <si>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</si>
  <si>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</si>
  <si>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</si>
  <si>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</si>
  <si>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</si>
  <si>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</si>
  <si>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</si>
  <si>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</si>
  <si>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</si>
  <si>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</si>
  <si>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</si>
  <si>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</si>
  <si>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</si>
  <si>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</si>
  <si>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</si>
  <si>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</si>
  <si>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</si>
  <si>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</si>
  <si>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</si>
  <si>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</si>
  <si>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</si>
  <si>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</si>
  <si>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</si>
  <si>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</si>
  <si>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</si>
  <si>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</si>
  <si>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</si>
  <si>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</si>
  <si>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</si>
  <si>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</si>
  <si>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</si>
  <si>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</si>
  <si>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</si>
  <si>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</si>
  <si>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</si>
  <si>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</si>
  <si>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</si>
  <si>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</si>
  <si>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</si>
  <si>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</si>
  <si>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</si>
  <si>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</si>
  <si>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</si>
  <si>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</si>
  <si>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</si>
  <si>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</si>
  <si>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</si>
  <si>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</si>
  <si>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</si>
  <si>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</si>
  <si>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</si>
  <si>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</si>
  <si>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</si>
  <si>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</si>
  <si>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</si>
  <si>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</si>
  <si>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</si>
  <si>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</si>
  <si>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</si>
  <si>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</si>
  <si>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</si>
  <si>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</si>
  <si>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</si>
  <si>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</si>
  <si>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</si>
  <si>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</si>
  <si>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</si>
  <si>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</si>
  <si>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</si>
  <si>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</si>
  <si>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</si>
  <si>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</si>
  <si>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</si>
  <si>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</si>
  <si>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</si>
  <si>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</si>
  <si>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</si>
  <si>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</si>
  <si>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</si>
  <si>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</si>
  <si>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</si>
  <si>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</si>
  <si>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</si>
  <si>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</si>
  <si>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</si>
  <si>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</si>
  <si>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</si>
  <si>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</si>
  <si>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</si>
  <si>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</si>
  <si>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</si>
  <si>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</si>
  <si>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</si>
  <si>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</si>
  <si>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</si>
  <si>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</si>
  <si>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</si>
  <si>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</si>
  <si>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</si>
  <si>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</si>
  <si>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</si>
  <si>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</si>
  <si>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</si>
  <si>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</si>
  <si>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</si>
  <si>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</si>
  <si>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</si>
  <si>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</si>
  <si>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</si>
  <si>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</si>
  <si>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</si>
  <si>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</si>
  <si>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</si>
  <si>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</si>
  <si>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</si>
  <si>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</si>
  <si>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</si>
  <si>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</si>
  <si>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</si>
  <si>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</si>
  <si>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</si>
  <si>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</si>
  <si>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</si>
  <si>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</si>
  <si>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</si>
  <si>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</si>
  <si>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</si>
  <si>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</si>
  <si>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</si>
  <si>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</si>
  <si>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</si>
  <si>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</si>
  <si>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</si>
  <si>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</si>
  <si>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</si>
  <si>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</si>
  <si>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</si>
  <si>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</si>
  <si>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</si>
  <si>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</si>
  <si>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</si>
  <si>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</si>
  <si>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</si>
  <si>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</si>
  <si>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</si>
  <si>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</si>
  <si>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</si>
  <si>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</si>
  <si>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</si>
  <si>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</si>
  <si>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</si>
  <si>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</si>
  <si>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</si>
  <si>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</si>
  <si>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</si>
  <si>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</si>
  <si>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</si>
  <si>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</si>
  <si>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</si>
  <si>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</si>
  <si>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</si>
  <si>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</si>
  <si>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</si>
  <si>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</si>
  <si>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</si>
  <si>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</si>
  <si>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</si>
  <si>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</si>
  <si>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</si>
  <si>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</si>
  <si>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</si>
  <si>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</si>
  <si>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</si>
  <si>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</si>
  <si>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</si>
  <si>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</si>
  <si>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</si>
  <si>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</si>
  <si>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</si>
  <si>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</si>
  <si>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</si>
  <si>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</si>
  <si>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</si>
  <si>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</si>
  <si>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</si>
  <si>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</si>
  <si>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</si>
  <si>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</si>
  <si>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</si>
  <si>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</si>
  <si>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</si>
  <si>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</si>
  <si>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</si>
  <si>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</si>
  <si>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</si>
  <si>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</si>
  <si>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</si>
  <si>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</si>
  <si>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</si>
  <si>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</si>
  <si>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</si>
  <si>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</si>
  <si>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</si>
  <si>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</si>
  <si>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</si>
  <si>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</si>
  <si>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</si>
  <si>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</si>
  <si>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</si>
  <si>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</si>
  <si>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</si>
  <si>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</si>
  <si>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</si>
  <si>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</si>
  <si>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</si>
  <si>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</si>
  <si>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</si>
  <si>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</si>
  <si>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</si>
  <si>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</si>
  <si>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</si>
  <si>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</si>
  <si>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</si>
  <si>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</si>
  <si>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</si>
  <si>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</si>
  <si>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</si>
  <si>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</si>
  <si>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</si>
  <si>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</si>
  <si>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</si>
  <si>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</si>
  <si>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</si>
  <si>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</si>
  <si>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</si>
  <si>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</si>
  <si>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</si>
  <si>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</si>
  <si>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</si>
  <si>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</si>
  <si>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</si>
  <si>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</si>
  <si>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</si>
  <si>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</si>
  <si>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</si>
  <si>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</si>
  <si>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</si>
  <si>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</si>
  <si>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</si>
  <si>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</si>
  <si>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</si>
  <si>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</si>
  <si>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</si>
  <si>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</si>
  <si>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</si>
  <si>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</si>
  <si>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</si>
  <si>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</si>
  <si>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</si>
  <si>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</si>
  <si>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</si>
  <si>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</si>
  <si>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</si>
  <si>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</si>
  <si>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</si>
  <si>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</si>
  <si>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</si>
  <si>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</si>
  <si>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</si>
  <si>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</si>
  <si>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</si>
  <si>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</si>
  <si>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</si>
  <si>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</si>
  <si>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</si>
  <si>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</si>
  <si>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</si>
  <si>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</si>
  <si>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</si>
  <si>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</si>
  <si>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</si>
  <si>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</si>
  <si>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</si>
  <si>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</si>
  <si>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</si>
  <si>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</si>
  <si>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</si>
  <si>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</si>
  <si>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</si>
  <si>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</si>
  <si>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</si>
  <si>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</si>
  <si>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</si>
  <si>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</si>
  <si>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</si>
  <si>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</si>
  <si>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</si>
  <si>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</si>
  <si>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</si>
  <si>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</si>
  <si>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</si>
  <si>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</si>
  <si>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</si>
  <si>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</si>
  <si>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</si>
  <si>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</si>
  <si>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</si>
  <si>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</si>
  <si>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</si>
  <si>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</si>
  <si>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</si>
  <si>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</si>
  <si>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</si>
  <si>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</si>
  <si>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</si>
  <si>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</si>
  <si>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</si>
  <si>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</si>
  <si>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</si>
  <si>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</si>
  <si>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</si>
  <si>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</si>
  <si>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</si>
  <si>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</si>
  <si>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</si>
  <si>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</si>
  <si>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</si>
  <si>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</si>
  <si>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</si>
  <si>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</si>
  <si>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</si>
  <si>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</si>
  <si>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</si>
  <si>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</si>
  <si>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</si>
  <si>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</si>
  <si>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</si>
  <si>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</si>
  <si>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</si>
  <si>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</si>
  <si>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</si>
  <si>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</si>
  <si>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</si>
  <si>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</si>
  <si>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</si>
  <si>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</si>
  <si>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</si>
  <si>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</si>
  <si>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</si>
  <si>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</si>
  <si>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</si>
  <si>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</si>
  <si>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</si>
  <si>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</si>
  <si>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</si>
  <si>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</si>
  <si>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</si>
  <si>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</si>
  <si>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</si>
  <si>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</si>
  <si>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</si>
  <si>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</si>
  <si>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</si>
  <si>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</si>
  <si>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</si>
  <si>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</si>
  <si>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</si>
  <si>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</si>
  <si>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</si>
  <si>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</si>
  <si>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</si>
  <si>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</si>
  <si>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</si>
  <si>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</si>
  <si>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</si>
  <si>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</si>
  <si>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</si>
  <si>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</si>
  <si>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</si>
  <si>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</si>
  <si>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</si>
  <si>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</si>
  <si>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</si>
  <si>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</si>
  <si>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</si>
  <si>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</si>
  <si>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</si>
  <si>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</si>
  <si>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</si>
  <si>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</si>
  <si>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</si>
  <si>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</si>
  <si>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</si>
  <si>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</si>
  <si>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</si>
  <si>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</si>
  <si>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</si>
  <si>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</si>
  <si>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</si>
  <si>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</si>
  <si>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</si>
  <si>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</si>
  <si>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</si>
  <si>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</si>
  <si>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</si>
  <si>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</si>
  <si>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</si>
  <si>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</si>
  <si>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</si>
  <si>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</si>
  <si>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</si>
  <si>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</si>
  <si>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</si>
  <si>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</si>
  <si>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</si>
  <si>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</si>
  <si>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</si>
  <si>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</si>
  <si>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</si>
  <si>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</si>
  <si>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</si>
  <si>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</si>
  <si>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</si>
  <si>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</si>
  <si>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</si>
  <si>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</si>
  <si>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</si>
  <si>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</si>
  <si>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</si>
  <si>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</si>
  <si>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</si>
  <si>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</si>
  <si>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</si>
  <si>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</si>
  <si>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</si>
  <si>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</si>
  <si>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</si>
  <si>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</si>
  <si>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</si>
  <si>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</si>
  <si>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</si>
  <si>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</si>
  <si>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</si>
  <si>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</si>
  <si>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</si>
  <si>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</si>
  <si>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</si>
  <si>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</si>
  <si>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</si>
  <si>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</si>
  <si>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</si>
  <si>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</si>
  <si>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</si>
  <si>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</si>
  <si>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</si>
  <si>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</si>
  <si>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</si>
  <si>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</si>
  <si>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</si>
  <si>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</si>
  <si>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</si>
  <si>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</si>
  <si>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</si>
  <si>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</si>
  <si>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</si>
  <si>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</si>
  <si>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</si>
  <si>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</si>
  <si>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</si>
  <si>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</si>
  <si>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</si>
  <si>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</si>
  <si>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</si>
  <si>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</si>
  <si>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</si>
  <si>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</si>
  <si>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</si>
  <si>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</si>
  <si>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</si>
  <si>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</si>
  <si>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</si>
  <si>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</si>
  <si>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</si>
  <si>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</si>
  <si>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</si>
  <si>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</si>
  <si>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</si>
  <si>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</si>
  <si>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</si>
  <si>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</si>
  <si>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</si>
  <si>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</si>
  <si>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</si>
  <si>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</si>
  <si>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</si>
  <si>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</si>
  <si>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</si>
  <si>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</si>
  <si>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</si>
  <si>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</si>
  <si>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</si>
  <si>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</si>
  <si>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</si>
  <si>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</si>
  <si>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</si>
  <si>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</si>
  <si>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</si>
  <si>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</si>
  <si>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</si>
  <si>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</si>
  <si>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</si>
  <si>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</si>
  <si>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</si>
  <si>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</si>
  <si>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</si>
  <si>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</si>
  <si>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</si>
  <si>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</si>
  <si>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</si>
  <si>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</si>
  <si>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</si>
  <si>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</si>
  <si>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</si>
  <si>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</si>
  <si>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</si>
  <si>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</si>
  <si>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</si>
  <si>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</si>
  <si>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</si>
  <si>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</si>
  <si>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</si>
  <si>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</si>
  <si>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</si>
  <si>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</si>
  <si>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</si>
  <si>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</si>
  <si>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</si>
  <si>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</si>
  <si>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</si>
  <si>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</si>
  <si>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</si>
  <si>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</si>
  <si>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</si>
  <si>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</si>
  <si>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</si>
  <si>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</si>
  <si>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</si>
  <si>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</si>
  <si>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</si>
  <si>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</si>
  <si>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</si>
  <si>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</si>
  <si>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</si>
  <si>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</si>
  <si>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</si>
  <si>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</si>
  <si>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</si>
  <si>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</si>
  <si>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</si>
  <si>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</si>
  <si>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</si>
  <si>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</si>
  <si>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</si>
  <si>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</si>
  <si>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</si>
  <si>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</si>
  <si>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</si>
  <si>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</si>
  <si>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</si>
  <si>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</si>
  <si>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</si>
  <si>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</si>
  <si>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</si>
  <si>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</si>
  <si>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</si>
  <si>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</si>
  <si>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</si>
  <si>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</si>
  <si>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</si>
  <si>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</si>
  <si>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</si>
  <si>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</si>
  <si>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</si>
  <si>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</si>
  <si>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</si>
  <si>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</si>
  <si>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</si>
  <si>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</si>
  <si>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</si>
  <si>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</si>
  <si>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</si>
  <si>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</si>
  <si>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</si>
  <si>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</si>
  <si>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</si>
  <si>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</si>
  <si>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</si>
  <si>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</si>
  <si>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</si>
  <si>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</si>
  <si>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</si>
  <si>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</si>
  <si>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</si>
  <si>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</si>
  <si>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</si>
  <si>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</si>
  <si>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</si>
  <si>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</si>
  <si>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</si>
  <si>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</si>
  <si>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</si>
  <si>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</si>
  <si>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</si>
  <si>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</si>
  <si>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</si>
  <si>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</si>
  <si>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</si>
  <si>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</si>
  <si>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</si>
  <si>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</si>
  <si>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</si>
  <si>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</si>
  <si>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</si>
  <si>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</si>
  <si>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</si>
  <si>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</si>
  <si>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</si>
  <si>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</si>
  <si>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</si>
  <si>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</si>
  <si>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</si>
  <si>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</si>
  <si>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</si>
  <si>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</si>
  <si>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</si>
  <si>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</si>
  <si>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</si>
  <si>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</si>
  <si>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</si>
  <si>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</si>
  <si>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</si>
  <si>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</si>
  <si>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</si>
  <si>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</si>
  <si>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</si>
  <si>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</si>
  <si>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</si>
  <si>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</si>
  <si>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</si>
  <si>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</si>
  <si>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</si>
  <si>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</si>
  <si>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</si>
  <si>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</si>
  <si>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</si>
  <si>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</si>
  <si>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</si>
  <si>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</si>
  <si>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</si>
  <si>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</si>
  <si>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</si>
  <si>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</si>
  <si>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</si>
  <si>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</si>
  <si>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</si>
  <si>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</si>
  <si>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</si>
  <si>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</si>
  <si>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</si>
  <si>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</si>
  <si>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</si>
  <si>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</si>
  <si>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</si>
  <si>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</si>
  <si>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</si>
  <si>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</si>
  <si>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</si>
  <si>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</si>
  <si>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</si>
  <si>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</si>
  <si>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</si>
  <si>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</si>
  <si>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</si>
  <si>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</si>
  <si>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</si>
  <si>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</si>
  <si>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</si>
  <si>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</si>
  <si>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</si>
  <si>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</si>
  <si>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</si>
  <si>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</si>
  <si>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</si>
  <si>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</si>
  <si>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</si>
  <si>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</si>
  <si>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</si>
  <si>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</si>
  <si>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</si>
  <si>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</si>
  <si>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</si>
  <si>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</si>
  <si>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</si>
  <si>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</si>
  <si>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</si>
  <si>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</si>
  <si>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</si>
  <si>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</si>
  <si>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</si>
  <si>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</si>
  <si>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</si>
  <si>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</si>
  <si>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</si>
  <si>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</si>
  <si>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</si>
  <si>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</si>
  <si>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</si>
  <si>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</si>
  <si>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</si>
  <si>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</si>
  <si>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</si>
  <si>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</si>
  <si>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</si>
  <si>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</si>
  <si>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</si>
  <si>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</si>
  <si>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</si>
  <si>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</si>
  <si>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</si>
  <si>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</si>
  <si>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</si>
  <si>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</si>
  <si>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</si>
  <si>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</si>
  <si>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</si>
  <si>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</si>
  <si>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</si>
  <si>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</si>
  <si>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</si>
  <si>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</si>
  <si>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</si>
  <si>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</si>
  <si>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</si>
  <si>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</si>
  <si>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</si>
  <si>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</si>
  <si>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</si>
  <si>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</si>
  <si>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</si>
  <si>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</si>
  <si>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</si>
  <si>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</si>
  <si>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</si>
  <si>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</si>
  <si>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</si>
  <si>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</si>
  <si>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</si>
  <si>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</si>
  <si>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</si>
  <si>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</si>
  <si>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</si>
  <si>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</si>
  <si>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</si>
  <si>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</si>
  <si>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</si>
  <si>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</si>
  <si>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</si>
  <si>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</si>
  <si>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</si>
  <si>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</si>
  <si>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</si>
  <si>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</si>
  <si>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</si>
  <si>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</si>
  <si>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</si>
  <si>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</si>
  <si>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</si>
  <si>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</si>
  <si>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</si>
  <si>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</si>
  <si>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</si>
  <si>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</si>
  <si>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</si>
  <si>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</si>
  <si>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</si>
  <si>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</si>
  <si>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</si>
  <si>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</si>
  <si>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</si>
  <si>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</si>
  <si>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</si>
  <si>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</si>
  <si>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</si>
  <si>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</si>
  <si>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</si>
  <si>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</si>
  <si>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</si>
  <si>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</si>
  <si>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</si>
  <si>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</si>
  <si>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</si>
  <si>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</si>
  <si>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</si>
  <si>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</si>
  <si>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</si>
  <si>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</si>
  <si>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</si>
  <si>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</si>
  <si>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</si>
  <si>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</si>
  <si>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</si>
  <si>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</si>
  <si>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</si>
  <si>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</si>
  <si>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</si>
  <si>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</si>
  <si>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</si>
  <si>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</si>
  <si>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</si>
  <si>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</si>
  <si>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</si>
  <si>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</si>
  <si>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</si>
  <si>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</si>
  <si>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</si>
  <si>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</si>
  <si>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</si>
  <si>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</si>
  <si>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</si>
  <si>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</si>
  <si>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</si>
  <si>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</si>
  <si>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</si>
  <si>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</si>
  <si>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</si>
  <si>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</si>
  <si>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</si>
  <si>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</si>
  <si>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</si>
  <si>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</si>
  <si>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</si>
  <si>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</si>
  <si>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</si>
  <si>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</si>
  <si>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</si>
  <si>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</si>
  <si>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</si>
  <si>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</si>
  <si>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</si>
  <si>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</si>
  <si>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</si>
  <si>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</si>
  <si>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</si>
  <si>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</si>
  <si>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</si>
  <si>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</si>
  <si>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</si>
  <si>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</si>
  <si>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</si>
  <si>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</si>
  <si>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</si>
  <si>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</si>
  <si>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</si>
  <si>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</si>
  <si>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</si>
  <si>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</si>
  <si>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</si>
  <si>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</si>
  <si>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</si>
  <si>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</si>
  <si>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</si>
  <si>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</si>
  <si>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</si>
  <si>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</si>
  <si>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</si>
  <si>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</si>
  <si>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</si>
  <si>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</si>
  <si>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</si>
  <si>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</si>
  <si>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</si>
  <si>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</si>
  <si>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</si>
  <si>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</si>
  <si>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</si>
  <si>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</si>
  <si>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</si>
  <si>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</si>
  <si>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</si>
  <si>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</si>
  <si>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</si>
  <si>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</si>
  <si>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</si>
  <si>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</si>
  <si>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</si>
  <si>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</si>
  <si>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</si>
  <si>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</si>
  <si>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</si>
  <si>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</si>
  <si>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</si>
  <si>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</si>
  <si>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</si>
  <si>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</si>
  <si>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</si>
  <si>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</si>
  <si>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</si>
  <si>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</si>
  <si>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</si>
  <si>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</si>
  <si>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</si>
  <si>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</si>
  <si>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</si>
  <si>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</si>
  <si>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</si>
  <si>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</si>
  <si>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</si>
  <si>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</si>
  <si>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</si>
  <si>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</si>
  <si>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</si>
  <si>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</si>
  <si>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</si>
  <si>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</si>
  <si>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</si>
  <si>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</si>
  <si>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</si>
  <si>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</si>
  <si>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</si>
  <si>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</si>
  <si>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</si>
  <si>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</si>
  <si>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</si>
  <si>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</si>
  <si>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</si>
  <si>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</si>
  <si>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</si>
  <si>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</si>
  <si>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</si>
  <si>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</si>
  <si>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</si>
  <si>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</si>
  <si>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</si>
  <si>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</si>
  <si>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</si>
  <si>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</si>
  <si>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</si>
  <si>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</si>
  <si>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</si>
  <si>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</si>
  <si>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</si>
  <si>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</si>
  <si>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</si>
  <si>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</si>
  <si>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</si>
  <si>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</si>
  <si>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</si>
  <si>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</si>
  <si>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</si>
  <si>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</si>
  <si>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</si>
  <si>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</si>
  <si>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</si>
  <si>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</si>
  <si>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</si>
  <si>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</si>
  <si>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</si>
  <si>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</si>
  <si>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</si>
  <si>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</si>
  <si>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</si>
  <si>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</si>
  <si>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</si>
  <si>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</si>
  <si>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</si>
  <si>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</si>
  <si>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</si>
  <si>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</si>
  <si>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</si>
  <si>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</si>
  <si>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</si>
  <si>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</si>
  <si>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</si>
  <si>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</si>
  <si>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</si>
  <si>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</si>
  <si>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</si>
  <si>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</si>
  <si>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</si>
  <si>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</si>
  <si>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</si>
  <si>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</si>
  <si>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</si>
  <si>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</si>
  <si>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</si>
  <si>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</si>
  <si>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</si>
  <si>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</si>
  <si>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</si>
  <si>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</si>
  <si>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</si>
  <si>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</si>
  <si>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</si>
  <si>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</si>
  <si>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</si>
  <si>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</si>
  <si>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</si>
  <si>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</si>
  <si>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</si>
  <si>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</si>
  <si>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</si>
  <si>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</si>
  <si>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</si>
  <si>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</si>
  <si>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</si>
  <si>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</si>
  <si>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</si>
  <si>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</si>
  <si>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</si>
  <si>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</si>
  <si>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</si>
  <si>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</si>
  <si>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</si>
  <si>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</si>
  <si>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</si>
  <si>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</si>
  <si>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</si>
  <si>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</si>
  <si>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</si>
  <si>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</si>
  <si>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</si>
  <si>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</si>
  <si>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</si>
  <si>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</si>
  <si>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</si>
  <si>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</si>
  <si>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</si>
  <si>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</si>
  <si>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</si>
  <si>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</si>
  <si>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</si>
  <si>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</si>
  <si>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</si>
  <si>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</si>
  <si>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</si>
  <si>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</si>
  <si>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</si>
  <si>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</si>
  <si>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</si>
  <si>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</si>
  <si>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</si>
  <si>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</si>
  <si>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</si>
  <si>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</si>
  <si>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</si>
  <si>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</si>
  <si>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</si>
  <si>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</si>
  <si>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</si>
  <si>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</si>
  <si>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</si>
  <si>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</si>
  <si>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</si>
  <si>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</si>
  <si>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</si>
  <si>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</si>
  <si>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</si>
  <si>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</si>
  <si>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</si>
  <si>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</si>
  <si>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</si>
  <si>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</si>
  <si>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</si>
  <si>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</si>
  <si>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</si>
  <si>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</si>
  <si>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</si>
  <si>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</si>
  <si>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</si>
  <si>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</si>
  <si>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</si>
  <si>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</si>
  <si>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</si>
  <si>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</si>
  <si>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</si>
  <si>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</si>
  <si>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</si>
  <si>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</si>
  <si>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</si>
  <si>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</si>
  <si>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</si>
  <si>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</si>
  <si>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</si>
  <si>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</si>
  <si>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</si>
  <si>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</si>
  <si>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</si>
  <si>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</si>
  <si>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</si>
  <si>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</si>
  <si>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</si>
  <si>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</si>
  <si>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</si>
  <si>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</si>
  <si>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</si>
  <si>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</si>
  <si>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</si>
  <si>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</si>
  <si>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</si>
  <si>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</si>
  <si>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</si>
  <si>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</si>
  <si>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</si>
  <si>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</si>
  <si>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</si>
  <si>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</si>
  <si>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</si>
  <si>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</si>
  <si>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</si>
  <si>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</si>
  <si>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</si>
  <si>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</si>
  <si>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</si>
  <si>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</si>
  <si>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</si>
  <si>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</si>
  <si>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</si>
  <si>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</si>
  <si>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</si>
  <si>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</si>
  <si>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</si>
  <si>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</si>
  <si>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</si>
  <si>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</si>
  <si>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</si>
  <si>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</si>
  <si>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</si>
  <si>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</si>
  <si>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</si>
  <si>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</si>
  <si>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</si>
  <si>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</si>
  <si>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</si>
  <si>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</si>
  <si>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</si>
  <si>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</si>
  <si>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</si>
  <si>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</si>
  <si>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</si>
  <si>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</si>
  <si>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</si>
  <si>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</si>
  <si>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</si>
  <si>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</si>
  <si>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</si>
  <si>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</si>
  <si>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</si>
  <si>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</si>
  <si>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</si>
  <si>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</si>
  <si>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</si>
  <si>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</si>
  <si>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</si>
  <si>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</si>
  <si>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</si>
  <si>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</si>
  <si>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</si>
  <si>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</si>
  <si>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</si>
  <si>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</si>
  <si>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</si>
  <si>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</si>
  <si>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</si>
  <si>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</si>
  <si>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</si>
  <si>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</si>
  <si>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</si>
  <si>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</si>
  <si>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</si>
  <si>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</si>
  <si>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</si>
  <si>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</si>
  <si>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</si>
  <si>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</si>
  <si>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</si>
  <si>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</si>
  <si>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</si>
  <si>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</si>
  <si>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</si>
  <si>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</si>
  <si>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</si>
  <si>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</si>
  <si>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</si>
  <si>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</si>
  <si>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</si>
  <si>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</si>
  <si>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</si>
  <si>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</si>
  <si>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</si>
  <si>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</si>
  <si>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</si>
  <si>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</si>
  <si>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</si>
  <si>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</si>
  <si>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</si>
  <si>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</si>
  <si>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</si>
  <si>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</si>
  <si>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</si>
  <si>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</si>
  <si>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</si>
  <si>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</si>
  <si>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</si>
  <si>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</si>
  <si>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</si>
  <si>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</si>
  <si>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</si>
  <si>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</si>
  <si>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</si>
  <si>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</si>
  <si>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</si>
  <si>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</si>
  <si>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</si>
  <si>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</si>
  <si>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</si>
  <si>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</si>
  <si>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</si>
  <si>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</si>
  <si>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</si>
  <si>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</si>
  <si>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</si>
  <si>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</si>
  <si>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</si>
  <si>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</si>
  <si>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</si>
  <si>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</si>
  <si>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</si>
  <si>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</si>
  <si>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</si>
  <si>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</si>
  <si>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</si>
  <si>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</si>
  <si>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</si>
  <si>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</si>
  <si>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</si>
  <si>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</si>
  <si>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</si>
  <si>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</si>
  <si>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</si>
  <si>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</si>
  <si>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</si>
  <si>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</si>
  <si>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</si>
  <si>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</si>
  <si>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</si>
  <si>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</si>
  <si>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</si>
  <si>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</si>
  <si>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</si>
  <si>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</si>
  <si>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</si>
  <si>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</si>
  <si>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</si>
  <si>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</si>
  <si>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</si>
  <si>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</si>
  <si>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</si>
  <si>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</si>
  <si>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</si>
  <si>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</si>
  <si>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</si>
  <si>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</si>
  <si>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</si>
  <si>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</si>
  <si>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</si>
  <si>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</si>
  <si>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</si>
  <si>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</si>
  <si>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</si>
  <si>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</si>
  <si>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</si>
  <si>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</si>
  <si>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</si>
  <si>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</si>
  <si>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</si>
  <si>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</si>
  <si>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</si>
  <si>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</si>
  <si>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</si>
  <si>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</si>
  <si>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</si>
  <si>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</si>
  <si>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</si>
  <si>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</si>
  <si>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</si>
  <si>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</si>
  <si>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</si>
  <si>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</si>
  <si>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</si>
  <si>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</si>
  <si>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</si>
  <si>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</si>
  <si>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</si>
  <si>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</si>
  <si>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</si>
  <si>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</si>
  <si>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</si>
  <si>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</si>
  <si>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</si>
  <si>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</si>
  <si>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</si>
  <si>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</si>
  <si>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</si>
  <si>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</si>
  <si>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</si>
  <si>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</si>
  <si>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</si>
  <si>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</si>
  <si>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</si>
  <si>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</si>
  <si>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</si>
  <si>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</si>
  <si>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</si>
  <si>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</si>
  <si>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</si>
  <si>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</si>
  <si>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</si>
  <si>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</si>
  <si>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</si>
  <si>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</si>
  <si>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</si>
  <si>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</si>
  <si>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</si>
  <si>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</si>
  <si>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</si>
  <si>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</si>
  <si>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</si>
  <si>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</si>
  <si>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</si>
  <si>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</si>
  <si>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</si>
  <si>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</si>
  <si>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</si>
  <si>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</si>
  <si>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</si>
  <si>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</si>
  <si>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</si>
  <si>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</si>
  <si>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</si>
  <si>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</si>
  <si>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</si>
  <si>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</si>
  <si>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</si>
  <si>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</si>
  <si>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</si>
  <si>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</si>
  <si>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</si>
  <si>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</si>
  <si>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</si>
  <si>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</si>
  <si>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</si>
  <si>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</si>
  <si>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</si>
  <si>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</si>
  <si>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</si>
  <si>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</si>
  <si>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</si>
  <si>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</si>
  <si>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</si>
  <si>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</si>
  <si>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</si>
  <si>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</si>
  <si>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</si>
  <si>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</si>
  <si>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</si>
  <si>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</si>
  <si>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</si>
  <si>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</si>
  <si>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</si>
  <si>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</si>
  <si>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</si>
  <si>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</si>
  <si>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</si>
  <si>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</si>
  <si>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</si>
  <si>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</si>
  <si>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</si>
  <si>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</si>
  <si>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</si>
  <si>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</si>
  <si>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</si>
  <si>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</si>
  <si>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</si>
  <si>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</si>
  <si>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</si>
  <si>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</si>
  <si>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</si>
  <si>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</si>
  <si>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</si>
  <si>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</si>
  <si>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</si>
  <si>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</si>
  <si>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</si>
  <si>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</si>
  <si>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</si>
  <si>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</si>
  <si>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</si>
  <si>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</si>
  <si>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</si>
  <si>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</si>
  <si>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</si>
  <si>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</si>
  <si>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</si>
  <si>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</si>
  <si>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</si>
  <si>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</si>
  <si>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</si>
  <si>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</si>
  <si>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</si>
  <si>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</si>
  <si>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</si>
  <si>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</si>
  <si>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</si>
  <si>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</si>
  <si>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</si>
  <si>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</si>
  <si>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</si>
  <si>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</si>
  <si>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</si>
  <si>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</si>
  <si>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</si>
  <si>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</si>
  <si>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</si>
  <si>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</si>
  <si>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</si>
  <si>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</si>
  <si>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</si>
  <si>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</si>
  <si>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</si>
  <si>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</si>
  <si>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</si>
  <si>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</si>
  <si>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</si>
  <si>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</si>
  <si>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</si>
  <si>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</si>
  <si>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</si>
  <si>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</si>
  <si>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</si>
  <si>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</si>
  <si>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</si>
  <si>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</si>
  <si>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</si>
  <si>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</si>
  <si>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</si>
  <si>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</si>
  <si>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</si>
  <si>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</si>
  <si>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</si>
  <si>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</si>
  <si>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</si>
  <si>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</si>
  <si>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</si>
  <si>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</si>
  <si>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</si>
  <si>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</si>
  <si>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</si>
  <si>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</si>
  <si>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</si>
  <si>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</si>
  <si>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</si>
  <si>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</si>
  <si>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</si>
  <si>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</si>
  <si>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</si>
  <si>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</si>
  <si>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</si>
  <si>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</si>
  <si>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</si>
  <si>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</si>
  <si>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</si>
  <si>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</si>
  <si>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</si>
  <si>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</si>
  <si>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</si>
  <si>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</si>
  <si>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</si>
  <si>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</si>
  <si>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</si>
  <si>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</si>
  <si>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</si>
  <si>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</si>
  <si>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</si>
  <si>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</si>
  <si>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</si>
  <si>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</si>
  <si>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</si>
  <si>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</si>
  <si>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</si>
  <si>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</si>
  <si>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</si>
  <si>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</si>
  <si>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</si>
  <si>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</si>
  <si>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</si>
  <si>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</si>
  <si>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</si>
  <si>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</si>
  <si>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</si>
  <si>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</si>
  <si>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</si>
  <si>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</si>
  <si>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</si>
  <si>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</si>
  <si>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</si>
  <si>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</si>
  <si>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</si>
  <si>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</si>
  <si>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</si>
  <si>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</si>
  <si>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</si>
  <si>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</si>
  <si>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</si>
  <si>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</si>
  <si>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</si>
  <si>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</si>
  <si>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</si>
  <si>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</si>
  <si>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</si>
  <si>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</si>
  <si>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</si>
  <si>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</si>
  <si>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</si>
  <si>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</si>
  <si>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</si>
  <si>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</si>
  <si>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</si>
  <si>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</si>
  <si>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</si>
  <si>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</si>
  <si>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</si>
  <si>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</si>
  <si>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</si>
  <si>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</si>
  <si>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</si>
  <si>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</si>
  <si>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</si>
  <si>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</si>
  <si>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</si>
  <si>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</si>
  <si>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</si>
  <si>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</si>
  <si>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</si>
  <si>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</si>
  <si>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</si>
  <si>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</si>
  <si>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</si>
  <si>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</si>
  <si>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</si>
  <si>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</si>
  <si>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</si>
  <si>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</si>
  <si>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</si>
  <si>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</si>
  <si>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</si>
  <si>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</si>
  <si>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</si>
  <si>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</si>
  <si>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</si>
  <si>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</si>
  <si>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</si>
  <si>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</si>
  <si>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</si>
  <si>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</si>
  <si>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</si>
  <si>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</si>
  <si>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</si>
  <si>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</si>
  <si>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</si>
  <si>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</si>
  <si>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</si>
  <si>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</si>
  <si>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</si>
  <si>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</si>
  <si>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</si>
  <si>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</si>
  <si>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</si>
  <si>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</si>
  <si>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</si>
  <si>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</si>
  <si>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</si>
  <si>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</si>
  <si>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</si>
  <si>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</si>
  <si>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</si>
  <si>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</si>
  <si>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</si>
  <si>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</si>
  <si>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</si>
  <si>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</si>
  <si>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</si>
  <si>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</si>
  <si>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</si>
  <si>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</si>
  <si>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</si>
  <si>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</si>
  <si>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</si>
  <si>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</si>
  <si>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</si>
  <si>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</si>
  <si>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</si>
  <si>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</si>
  <si>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</si>
  <si>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</si>
  <si>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</si>
  <si>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</si>
  <si>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</si>
  <si>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</si>
  <si>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</si>
  <si>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</si>
  <si>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</si>
  <si>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</si>
  <si>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</si>
  <si>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</si>
  <si>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</si>
  <si>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</si>
  <si>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</si>
  <si>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</si>
  <si>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</si>
  <si>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</si>
  <si>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</si>
  <si>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</si>
  <si>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</si>
  <si>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</si>
  <si>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</si>
  <si>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</si>
  <si>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</si>
  <si>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</si>
  <si>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</si>
  <si>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</si>
  <si>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</si>
  <si>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</si>
  <si>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</si>
  <si>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</si>
  <si>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</si>
  <si>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</si>
  <si>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</si>
  <si>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</si>
  <si>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</si>
  <si>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</si>
  <si>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</si>
  <si>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</si>
  <si>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</si>
  <si>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</si>
  <si>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</si>
  <si>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</si>
  <si>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</si>
  <si>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</si>
  <si>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</si>
  <si>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</si>
  <si>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</si>
  <si>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</si>
  <si>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</si>
  <si>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</si>
  <si>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</si>
  <si>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</si>
  <si>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</si>
  <si>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</si>
  <si>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</si>
  <si>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</si>
  <si>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</si>
  <si>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</si>
  <si>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</si>
  <si>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</si>
  <si>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</si>
  <si>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</si>
  <si>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</si>
  <si>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</si>
  <si>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</si>
  <si>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</si>
  <si>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</si>
  <si>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</si>
  <si>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</si>
  <si>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</si>
  <si>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</si>
  <si>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</si>
  <si>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</si>
  <si>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</si>
  <si>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</si>
  <si>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</si>
  <si>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</si>
  <si>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</si>
  <si>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</si>
  <si>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</si>
  <si>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</si>
  <si>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</si>
  <si>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</si>
  <si>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</si>
  <si>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</si>
  <si>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</si>
  <si>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</si>
  <si>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</si>
  <si>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</si>
  <si>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</si>
  <si>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</si>
  <si>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</si>
  <si>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</si>
  <si>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</si>
  <si>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</si>
  <si>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</si>
  <si>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</si>
  <si>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</si>
  <si>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</si>
  <si>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</si>
  <si>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</si>
  <si>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</si>
  <si>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</si>
  <si>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</si>
  <si>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</si>
  <si>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</si>
  <si>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</si>
  <si>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</si>
  <si>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</si>
  <si>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</si>
  <si>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</si>
  <si>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</si>
  <si>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</si>
  <si>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</si>
  <si>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</si>
  <si>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</si>
  <si>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</si>
  <si>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</si>
  <si>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</si>
  <si>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</si>
  <si>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</si>
  <si>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</si>
  <si>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</si>
  <si>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</si>
  <si>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</si>
  <si>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</si>
  <si>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</si>
  <si>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</si>
  <si>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</si>
  <si>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</si>
  <si>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</si>
  <si>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</si>
  <si>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</si>
  <si>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</si>
  <si>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</si>
  <si>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</si>
  <si>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</si>
  <si>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</si>
  <si>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</si>
  <si>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</si>
  <si>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</si>
  <si>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</si>
  <si>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</si>
  <si>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</si>
  <si>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</si>
  <si>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</si>
  <si>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</si>
  <si>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</si>
  <si>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</si>
  <si>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</si>
  <si>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</si>
  <si>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</si>
  <si>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</si>
  <si>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</si>
  <si>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</si>
  <si>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</si>
  <si>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</si>
  <si>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</si>
  <si>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</si>
  <si>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</si>
  <si>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</si>
  <si>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</si>
  <si>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</si>
  <si>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</si>
  <si>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</si>
  <si>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</si>
  <si>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</si>
  <si>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</si>
  <si>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</si>
  <si>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</si>
  <si>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</si>
  <si>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</si>
  <si>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</si>
  <si>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</si>
  <si>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</si>
  <si>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</si>
  <si>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</si>
  <si>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</si>
  <si>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</si>
  <si>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</si>
  <si>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</si>
  <si>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</si>
  <si>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</si>
  <si>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</si>
  <si>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</si>
  <si>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</si>
  <si>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</si>
  <si>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</si>
  <si>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</si>
  <si>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</si>
  <si>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</si>
  <si>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</si>
  <si>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</si>
  <si>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</si>
  <si>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</si>
  <si>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</si>
  <si>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</si>
  <si>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</si>
  <si>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</si>
  <si>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</si>
  <si>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</si>
  <si>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</si>
  <si>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</si>
  <si>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</si>
  <si>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</si>
  <si>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</si>
  <si>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</si>
  <si>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</si>
  <si>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</si>
  <si>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</si>
  <si>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</si>
  <si>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</si>
  <si>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</si>
  <si>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</si>
  <si>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</si>
  <si>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</si>
  <si>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</si>
  <si>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</si>
  <si>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</si>
  <si>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</si>
  <si>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</si>
  <si>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</si>
  <si>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</si>
  <si>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</si>
  <si>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</si>
  <si>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</si>
  <si>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</si>
  <si>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</si>
  <si>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</si>
  <si>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</si>
  <si>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</si>
  <si>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</si>
  <si>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</si>
  <si>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</si>
  <si>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</si>
  <si>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</si>
  <si>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</si>
  <si>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</si>
  <si>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</si>
  <si>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</si>
  <si>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</si>
  <si>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</si>
  <si>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</si>
  <si>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</si>
  <si>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</si>
  <si>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</si>
  <si>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</si>
  <si>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</si>
  <si>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</si>
  <si>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</si>
  <si>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</si>
  <si>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</si>
  <si>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</si>
  <si>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</si>
  <si>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</si>
  <si>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</si>
  <si>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</si>
  <si>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</si>
  <si>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</si>
  <si>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</si>
  <si>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</si>
  <si>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</si>
  <si>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</si>
  <si>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</si>
  <si>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</si>
  <si>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</si>
  <si>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</si>
  <si>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</si>
  <si>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</si>
  <si>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</si>
  <si>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</si>
  <si>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</si>
  <si>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</si>
  <si>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</si>
  <si>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</si>
  <si>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</si>
  <si>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</si>
  <si>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</si>
  <si>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</si>
  <si>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</si>
  <si>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</si>
  <si>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</si>
  <si>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</si>
  <si>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</si>
  <si>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</si>
  <si>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</si>
  <si>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</si>
  <si>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</si>
  <si>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</si>
  <si>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</si>
  <si>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</si>
  <si>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</si>
  <si>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</si>
  <si>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</si>
  <si>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</si>
  <si>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</si>
  <si>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</si>
  <si>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</si>
  <si>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</si>
  <si>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</si>
  <si>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</si>
  <si>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</si>
  <si>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</si>
  <si>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</si>
  <si>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</si>
  <si>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</si>
  <si>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</si>
  <si>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</si>
  <si>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</si>
  <si>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</si>
  <si>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</si>
  <si>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</si>
  <si>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</si>
  <si>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</si>
  <si>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</si>
  <si>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</si>
  <si>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</si>
  <si>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</si>
  <si>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</si>
  <si>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</si>
  <si>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</si>
  <si>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</si>
  <si>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</si>
  <si>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</si>
  <si>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</si>
  <si>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</si>
  <si>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</si>
  <si>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</si>
  <si>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</si>
  <si>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</si>
  <si>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</si>
  <si>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</si>
  <si>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</si>
  <si>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</si>
  <si>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</si>
  <si>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</si>
  <si>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</si>
  <si>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</si>
  <si>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</si>
  <si>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</si>
  <si>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</si>
  <si>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</si>
  <si>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</si>
  <si>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</si>
  <si>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</si>
  <si>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</si>
  <si>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</si>
  <si>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</si>
  <si>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</si>
  <si>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</si>
  <si>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</si>
  <si>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</si>
  <si>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</si>
  <si>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</si>
  <si>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</si>
  <si>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</si>
  <si>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</si>
  <si>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</si>
  <si>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</si>
  <si>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</si>
  <si>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</si>
  <si>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</si>
  <si>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</si>
  <si>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</si>
  <si>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</si>
  <si>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</si>
  <si>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</si>
  <si>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</si>
  <si>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</si>
  <si>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</si>
  <si>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</si>
  <si>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</si>
  <si>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</si>
  <si>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</si>
  <si>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</si>
  <si>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</si>
  <si>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</si>
  <si>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</si>
  <si>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</si>
  <si>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</si>
  <si>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</si>
  <si>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</si>
  <si>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</si>
  <si>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</si>
  <si>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</si>
  <si>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</si>
  <si>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</si>
  <si>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</si>
  <si>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</si>
  <si>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</si>
  <si>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</si>
  <si>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</si>
  <si>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</si>
  <si>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</si>
  <si>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</si>
  <si>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</si>
  <si>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</si>
  <si>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</si>
  <si>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</si>
  <si>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</si>
  <si>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</si>
  <si>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</si>
  <si>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</si>
  <si>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</si>
  <si>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</si>
  <si>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</si>
  <si>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</si>
  <si>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</si>
  <si>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</si>
  <si>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</si>
  <si>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</si>
  <si>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</si>
  <si>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</si>
  <si>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</si>
  <si>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</si>
  <si>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</si>
  <si>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</si>
  <si>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</si>
  <si>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</si>
  <si>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</si>
  <si>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</si>
  <si>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</si>
  <si>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</si>
  <si>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</si>
  <si>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</si>
  <si>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</si>
  <si>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</si>
  <si>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</si>
  <si>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</si>
  <si>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</si>
  <si>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</si>
  <si>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</si>
  <si>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</si>
  <si>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</si>
  <si>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</si>
  <si>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</si>
  <si>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</si>
  <si>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</si>
  <si>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</si>
  <si>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</si>
  <si>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</si>
  <si>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</si>
  <si>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</si>
  <si>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</si>
  <si>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</si>
  <si>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</si>
  <si>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</si>
  <si>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</si>
  <si>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</si>
  <si>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</si>
  <si>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</si>
  <si>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</si>
  <si>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</si>
  <si>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</si>
  <si>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</si>
  <si>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</si>
  <si>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</si>
  <si>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</si>
  <si>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</si>
  <si>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</si>
  <si>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</si>
  <si>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</si>
  <si>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</si>
  <si>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</si>
  <si>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</si>
  <si>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</si>
  <si>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</si>
  <si>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</si>
  <si>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</si>
  <si>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</si>
  <si>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</si>
  <si>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</si>
  <si>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</si>
  <si>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</si>
  <si>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</si>
  <si>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</si>
  <si>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</si>
  <si>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</si>
  <si>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</si>
  <si>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</si>
  <si>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</si>
  <si>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</si>
  <si>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</si>
  <si>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</si>
  <si>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</si>
  <si>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</si>
  <si>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</si>
  <si>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</si>
  <si>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</si>
  <si>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</si>
  <si>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</si>
  <si>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</si>
  <si>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</si>
  <si>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</si>
  <si>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</si>
  <si>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</si>
  <si>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</si>
  <si>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</si>
  <si>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</si>
  <si>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</si>
  <si>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</si>
  <si>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</si>
  <si>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</si>
  <si>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</si>
  <si>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</si>
  <si>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</si>
  <si>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</si>
  <si>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</si>
  <si>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</si>
  <si>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</si>
  <si>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</si>
  <si>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</si>
  <si>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</si>
  <si>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</si>
  <si>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</si>
  <si>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</si>
  <si>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</si>
  <si>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</si>
  <si>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</si>
  <si>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</si>
  <si>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</si>
  <si>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</si>
  <si>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</si>
  <si>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</si>
  <si>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</si>
  <si>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</si>
  <si>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</si>
  <si>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</si>
  <si>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</si>
  <si>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</si>
  <si>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</si>
  <si>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</si>
  <si>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</si>
  <si>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</si>
  <si>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</si>
  <si>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</si>
  <si>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</si>
  <si>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</si>
  <si>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</si>
  <si>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</si>
  <si>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</si>
  <si>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</si>
  <si>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</si>
  <si>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</si>
  <si>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</si>
  <si>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</si>
  <si>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</si>
  <si>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</si>
  <si>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</si>
  <si>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</si>
  <si>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</si>
  <si>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</si>
  <si>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</si>
  <si>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</si>
  <si>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</si>
  <si>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</si>
  <si>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</si>
  <si>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</si>
  <si>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</si>
  <si>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</si>
  <si>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</si>
  <si>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</si>
  <si>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</si>
  <si>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</si>
  <si>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</si>
  <si>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</si>
  <si>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</si>
  <si>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</si>
  <si>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</si>
  <si>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</si>
  <si>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</si>
  <si>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</si>
  <si>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</si>
  <si>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</si>
  <si>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</si>
  <si>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</si>
  <si>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</si>
  <si>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</si>
  <si>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</si>
  <si>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</si>
  <si>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</si>
  <si>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</si>
  <si>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</si>
  <si>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</si>
  <si>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</si>
  <si>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</si>
  <si>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</si>
  <si>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</si>
  <si>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</si>
  <si>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</si>
  <si>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</si>
  <si>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</si>
  <si>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</si>
  <si>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</si>
  <si>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</si>
  <si>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</si>
  <si>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</si>
  <si>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</si>
  <si>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</si>
  <si>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</si>
  <si>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</si>
  <si>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</si>
  <si>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</si>
  <si>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</si>
  <si>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</si>
  <si>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</si>
  <si>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</si>
  <si>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</si>
  <si>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</si>
  <si>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</si>
  <si>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</si>
  <si>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</si>
  <si>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</si>
  <si>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</si>
  <si>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</si>
  <si>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</si>
  <si>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</si>
  <si>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</si>
  <si>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</si>
  <si>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</si>
  <si>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</si>
  <si>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</si>
  <si>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</si>
  <si>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</si>
  <si>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</si>
  <si>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</si>
  <si>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</si>
  <si>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</si>
  <si>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</si>
  <si>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</si>
  <si>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</si>
  <si>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</si>
  <si>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</si>
  <si>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</si>
  <si>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</si>
  <si>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</si>
  <si>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</si>
  <si>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</si>
  <si>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</si>
  <si>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</si>
  <si>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</si>
  <si>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</si>
  <si>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</si>
  <si>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</si>
  <si>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</si>
  <si>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</si>
  <si>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</si>
  <si>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</si>
  <si>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</si>
  <si>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</si>
  <si>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</si>
  <si>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</si>
  <si>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</si>
  <si>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</si>
  <si>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</si>
  <si>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</si>
  <si>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</si>
  <si>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</si>
  <si>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</si>
  <si>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</si>
  <si>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</si>
  <si>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</si>
  <si>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</si>
  <si>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</si>
  <si>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</si>
  <si>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</si>
  <si>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</si>
  <si>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</si>
  <si>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</si>
  <si>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</si>
  <si>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</si>
  <si>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</si>
  <si>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</si>
  <si>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</si>
  <si>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</si>
  <si>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</si>
  <si>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</si>
  <si>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</si>
  <si>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</si>
  <si>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</si>
  <si>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</si>
  <si>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</si>
  <si>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</si>
  <si>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</si>
  <si>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</si>
  <si>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</si>
  <si>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</si>
  <si>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</si>
  <si>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</si>
  <si>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</si>
  <si>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</si>
  <si>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</si>
  <si>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</si>
  <si>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</si>
  <si>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</si>
  <si>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</si>
  <si>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</si>
  <si>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</si>
  <si>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</si>
  <si>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</si>
  <si>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</si>
  <si>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</si>
  <si>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</si>
  <si>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</si>
  <si>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</si>
  <si>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</si>
  <si>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</si>
  <si>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</si>
  <si>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</si>
  <si>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</si>
  <si>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</si>
  <si>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</si>
  <si>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</si>
  <si>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</si>
  <si>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</si>
  <si>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</si>
  <si>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</si>
  <si>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</si>
  <si>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</si>
  <si>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</si>
  <si>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</si>
  <si>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</si>
  <si>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</si>
  <si>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</si>
  <si>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</si>
  <si>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</si>
  <si>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</si>
  <si>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</si>
  <si>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</si>
  <si>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</si>
  <si>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</si>
  <si>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</si>
  <si>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</si>
  <si>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</si>
  <si>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</si>
  <si>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</si>
  <si>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</si>
  <si>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</si>
  <si>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</si>
  <si>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</si>
  <si>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</si>
  <si>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</si>
  <si>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</si>
  <si>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</si>
  <si>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</si>
  <si>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</si>
  <si>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</si>
  <si>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</si>
  <si>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</si>
  <si>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</si>
  <si>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</si>
  <si>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</si>
  <si>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</si>
  <si>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</si>
  <si>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</si>
  <si>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</si>
  <si>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</si>
  <si>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</si>
  <si>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</si>
  <si>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</si>
  <si>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</si>
  <si>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</si>
  <si>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</si>
  <si>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</si>
  <si>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</si>
  <si>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</si>
  <si>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</si>
  <si>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</si>
  <si>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</si>
  <si>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</si>
  <si>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</si>
  <si>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</si>
  <si>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</si>
  <si>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</si>
  <si>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</si>
  <si>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</si>
  <si>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</si>
  <si>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</si>
  <si>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</si>
  <si>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</si>
  <si>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</si>
  <si>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</si>
  <si>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</si>
  <si>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</si>
  <si>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</si>
  <si>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</si>
  <si>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</si>
  <si>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</si>
  <si>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</si>
  <si>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</si>
  <si>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</si>
  <si>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</si>
  <si>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</si>
  <si>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</si>
  <si>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</si>
  <si>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</si>
  <si>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</si>
  <si>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</si>
  <si>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</si>
  <si>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</si>
  <si>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</si>
  <si>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</si>
  <si>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</si>
  <si>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</si>
  <si>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</si>
  <si>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</si>
  <si>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</si>
  <si>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</si>
  <si>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</si>
  <si>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</si>
  <si>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</si>
  <si>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</si>
  <si>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</si>
  <si>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</si>
  <si>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</si>
  <si>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</si>
  <si>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</si>
  <si>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</si>
  <si>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</si>
  <si>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</si>
  <si>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</si>
  <si>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</si>
  <si>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</si>
  <si>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</si>
  <si>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</si>
  <si>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</si>
  <si>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</si>
  <si>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</si>
  <si>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</si>
  <si>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</si>
  <si>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</si>
  <si>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</si>
  <si>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</si>
  <si>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</si>
  <si>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</si>
  <si>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</si>
  <si>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</si>
  <si>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</si>
  <si>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</si>
  <si>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</si>
  <si>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</si>
  <si>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</si>
  <si>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</si>
  <si>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</si>
  <si>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</si>
  <si>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</si>
  <si>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</si>
  <si>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</si>
  <si>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</si>
  <si>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</si>
  <si>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</si>
  <si>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</si>
  <si>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</si>
  <si>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</si>
  <si>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</si>
  <si>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</si>
  <si>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</si>
  <si>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</si>
  <si>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</si>
  <si>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</si>
  <si>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</si>
  <si>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</si>
  <si>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</si>
  <si>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</si>
  <si>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</si>
  <si>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</si>
  <si>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</si>
  <si>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</si>
  <si>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</si>
  <si>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</si>
  <si>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</si>
  <si>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</si>
  <si>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</si>
  <si>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</si>
  <si>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</si>
  <si>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</si>
  <si>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</si>
  <si>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</si>
  <si>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</si>
  <si>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</si>
  <si>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</si>
  <si>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</si>
  <si>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</si>
  <si>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</si>
  <si>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</si>
  <si>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</si>
  <si>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</si>
  <si>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</si>
  <si>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</si>
  <si>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</si>
  <si>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</si>
  <si>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</si>
  <si>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</si>
  <si>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</si>
  <si>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</si>
  <si>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</si>
  <si>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</si>
  <si>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</si>
  <si>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</si>
  <si>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</si>
  <si>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</si>
  <si>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</si>
  <si>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</si>
  <si>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</si>
  <si>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</si>
  <si>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</si>
  <si>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</si>
  <si>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</si>
  <si>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</si>
  <si>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</si>
  <si>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</si>
  <si>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</si>
  <si>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</si>
  <si>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</si>
  <si>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</si>
  <si>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</si>
  <si>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</si>
  <si>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</si>
  <si>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</si>
  <si>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</si>
  <si>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</si>
  <si>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</si>
  <si>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</si>
  <si>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</si>
  <si>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</si>
  <si>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</si>
  <si>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</si>
  <si>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</si>
  <si>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</si>
  <si>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</si>
  <si>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</si>
  <si>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</si>
  <si>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</si>
  <si>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</si>
  <si>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</si>
  <si>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</si>
  <si>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</si>
  <si>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</si>
  <si>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</si>
  <si>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</si>
  <si>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</si>
  <si>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</si>
  <si>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</si>
  <si>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</si>
  <si>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</si>
  <si>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</si>
  <si>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</si>
  <si>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</si>
  <si>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</si>
  <si>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</si>
  <si>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</si>
  <si>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</si>
  <si>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</si>
  <si>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</si>
  <si>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</si>
  <si>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</si>
  <si>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</si>
  <si>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</si>
  <si>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</si>
  <si>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</si>
  <si>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</si>
  <si>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</si>
  <si>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</si>
  <si>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</si>
  <si>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</si>
  <si>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</si>
  <si>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</si>
  <si>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</si>
  <si>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</si>
  <si>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</si>
  <si>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</si>
  <si>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</si>
  <si>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</si>
  <si>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</si>
  <si>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</si>
  <si>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</si>
  <si>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</si>
  <si>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</si>
  <si>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</si>
  <si>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</si>
  <si>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</si>
  <si>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</si>
  <si>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</si>
  <si>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</si>
  <si>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</si>
  <si>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</si>
  <si>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</si>
  <si>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</si>
  <si>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</si>
  <si>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</si>
  <si>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</si>
  <si>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</si>
  <si>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</si>
  <si>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</si>
  <si>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</si>
  <si>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</si>
  <si>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</si>
  <si>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</si>
  <si>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</si>
  <si>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</si>
  <si>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</si>
  <si>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</si>
  <si>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</si>
  <si>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</si>
  <si>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</si>
  <si>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</si>
  <si>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</si>
  <si>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</si>
  <si>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</si>
  <si>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</si>
  <si>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</si>
  <si>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</si>
  <si>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</si>
  <si>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</si>
  <si>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</si>
  <si>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</si>
  <si>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</si>
  <si>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</si>
  <si>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</si>
  <si>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</si>
  <si>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</si>
  <si>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</si>
  <si>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</si>
  <si>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</si>
  <si>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</si>
  <si>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</si>
  <si>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</si>
  <si>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</si>
  <si>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</si>
  <si>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</si>
  <si>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</si>
  <si>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</si>
  <si>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</si>
  <si>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</si>
  <si>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</si>
  <si>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</si>
  <si>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</si>
  <si>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</si>
  <si>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</si>
  <si>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</si>
  <si>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</si>
  <si>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</si>
  <si>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</si>
  <si>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</si>
  <si>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</si>
  <si>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</si>
  <si>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</si>
  <si>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</si>
  <si>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</si>
  <si>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</si>
  <si>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</si>
  <si>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</si>
  <si>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</si>
  <si>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</si>
  <si>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</si>
  <si>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</si>
  <si>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</si>
  <si>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</si>
  <si>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</si>
  <si>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</si>
  <si>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</si>
  <si>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</si>
  <si>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</si>
  <si>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</si>
  <si>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</si>
  <si>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</si>
  <si>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</si>
  <si>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</si>
  <si>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</si>
  <si>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</si>
  <si>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</si>
  <si>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</si>
  <si>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</si>
  <si>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</si>
  <si>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</si>
  <si>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</si>
  <si>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</si>
  <si>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</si>
  <si>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</si>
  <si>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</si>
  <si>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</si>
  <si>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</si>
  <si>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</si>
  <si>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</si>
  <si>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</si>
  <si>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</si>
  <si>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</si>
  <si>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</si>
  <si>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</si>
  <si>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</si>
  <si>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</si>
  <si>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</si>
  <si>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</si>
  <si>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</si>
  <si>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</si>
  <si>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</si>
  <si>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</si>
  <si>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</si>
  <si>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</si>
  <si>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</si>
  <si>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</si>
  <si>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</si>
  <si>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</si>
  <si>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</si>
  <si>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</si>
  <si>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</si>
  <si>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</si>
  <si>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</si>
  <si>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</si>
  <si>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</si>
  <si>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</si>
  <si>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</si>
  <si>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</si>
  <si>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</si>
  <si>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</si>
  <si>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</si>
  <si>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</si>
  <si>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</si>
  <si>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</si>
  <si>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</si>
  <si>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</si>
  <si>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</si>
  <si>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</si>
  <si>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</si>
  <si>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</si>
  <si>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</si>
  <si>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</si>
  <si>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</si>
  <si>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</si>
  <si>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</si>
  <si>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</si>
  <si>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</si>
  <si>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</si>
  <si>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</si>
  <si>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</si>
  <si>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</si>
  <si>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</si>
  <si>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</si>
  <si>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</si>
  <si>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</si>
  <si>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</si>
  <si>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</si>
  <si>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</si>
  <si>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</si>
  <si>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</si>
  <si>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</si>
  <si>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</si>
  <si>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</si>
  <si>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</si>
  <si>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</si>
  <si>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</si>
  <si>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</si>
  <si>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</si>
  <si>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</si>
  <si>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</si>
  <si>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</si>
  <si>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</si>
  <si>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</si>
  <si>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</si>
  <si>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</si>
  <si>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</si>
  <si>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</si>
  <si>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</si>
  <si>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</si>
  <si>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</si>
  <si>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</si>
  <si>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</si>
  <si>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</si>
  <si>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</si>
  <si>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</si>
  <si>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</si>
  <si>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</si>
  <si>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</si>
  <si>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</si>
  <si>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</si>
  <si>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</si>
  <si>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</si>
  <si>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</si>
  <si>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</si>
  <si>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</si>
  <si>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</si>
  <si>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</si>
  <si>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</si>
  <si>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</si>
  <si>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</si>
  <si>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</si>
  <si>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</si>
  <si>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</si>
  <si>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</si>
  <si>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</si>
  <si>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</si>
  <si>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</si>
  <si>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</si>
  <si>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</si>
  <si>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</si>
  <si>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</si>
  <si>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</si>
  <si>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</si>
  <si>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</si>
  <si>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</si>
  <si>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</si>
  <si>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</si>
  <si>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</si>
  <si>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</si>
  <si>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</si>
  <si>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</si>
  <si>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</si>
  <si>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</si>
  <si>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</si>
  <si>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</si>
  <si>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</si>
  <si>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</si>
  <si>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</si>
  <si>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</si>
  <si>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</si>
  <si>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</si>
  <si>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</si>
  <si>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</si>
  <si>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</si>
  <si>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</si>
  <si>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</si>
  <si>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</si>
  <si>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</si>
  <si>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</si>
  <si>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</si>
  <si>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</si>
  <si>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</si>
  <si>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</si>
  <si>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</si>
  <si>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</si>
  <si>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</si>
  <si>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</si>
  <si>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</si>
  <si>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</si>
  <si>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</si>
  <si>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</si>
  <si>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</si>
  <si>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</si>
  <si>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</si>
  <si>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</si>
  <si>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</si>
  <si>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</si>
  <si>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</si>
  <si>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</si>
  <si>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</si>
  <si>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</si>
  <si>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</si>
  <si>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</si>
  <si>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</si>
  <si>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</si>
  <si>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</si>
  <si>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</si>
  <si>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</si>
  <si>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</si>
  <si>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</si>
  <si>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</si>
  <si>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</si>
  <si>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</si>
  <si>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</si>
  <si>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</si>
  <si>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</si>
  <si>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</si>
  <si>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</si>
  <si>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</si>
  <si>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</si>
  <si>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</si>
  <si>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</si>
  <si>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</si>
  <si>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</si>
  <si>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</si>
  <si>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</si>
  <si>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</si>
  <si>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</si>
  <si>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</si>
  <si>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</si>
  <si>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</si>
  <si>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</si>
  <si>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</si>
  <si>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</si>
  <si>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</si>
  <si>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</si>
  <si>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</si>
  <si>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</si>
  <si>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</si>
  <si>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</si>
  <si>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</si>
  <si>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</si>
  <si>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</si>
  <si>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</si>
  <si>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</si>
  <si>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</si>
  <si>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</si>
  <si>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</si>
  <si>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</si>
  <si>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</si>
  <si>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</si>
  <si>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</si>
  <si>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</si>
  <si>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</si>
  <si>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</si>
  <si>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</si>
  <si>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</si>
  <si>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</si>
  <si>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</si>
  <si>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</si>
  <si>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</si>
  <si>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</si>
  <si>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</si>
  <si>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</si>
  <si>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</si>
  <si>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</si>
  <si>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</si>
  <si>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</si>
  <si>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</si>
  <si>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</si>
  <si>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</si>
  <si>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</si>
  <si>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</si>
  <si>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</si>
  <si>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</si>
  <si>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</si>
  <si>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</si>
  <si>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</si>
  <si>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</si>
  <si>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</si>
  <si>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</si>
  <si>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</si>
  <si>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</si>
  <si>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</si>
  <si>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</si>
  <si>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</si>
  <si>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</si>
  <si>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</si>
  <si>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</si>
  <si>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</si>
  <si>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</si>
  <si>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</si>
  <si>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</si>
  <si>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</si>
  <si>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</si>
  <si>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</si>
  <si>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</si>
  <si>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</si>
  <si>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</si>
  <si>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</si>
  <si>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</si>
  <si>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</si>
  <si>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</si>
  <si>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</si>
  <si>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</si>
  <si>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</si>
  <si>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</si>
  <si>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</si>
  <si>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</si>
  <si>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</si>
  <si>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</si>
  <si>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</si>
  <si>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</si>
  <si>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</si>
  <si>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</si>
  <si>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</si>
  <si>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</si>
  <si>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</si>
  <si>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</si>
  <si>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</si>
  <si>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</si>
  <si>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</si>
  <si>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</si>
  <si>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</si>
  <si>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</si>
  <si>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</si>
  <si>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</si>
  <si>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</si>
  <si>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</si>
  <si>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</si>
  <si>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</si>
  <si>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</si>
  <si>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</si>
  <si>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</si>
  <si>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</si>
  <si>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</si>
  <si>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</si>
  <si>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</si>
  <si>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</si>
  <si>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</si>
  <si>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</si>
  <si>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</si>
  <si>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</si>
  <si>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</si>
  <si>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</si>
  <si>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</si>
  <si>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</si>
  <si>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</si>
  <si>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</si>
  <si>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</si>
  <si>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</si>
  <si>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</si>
  <si>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</si>
  <si>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</si>
  <si>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</si>
  <si>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</si>
  <si>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</si>
  <si>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</si>
  <si>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</si>
  <si>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</si>
  <si>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</si>
  <si>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</si>
  <si>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</si>
  <si>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</si>
  <si>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</si>
  <si>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</si>
  <si>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</si>
  <si>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</si>
  <si>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</si>
  <si>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</si>
  <si>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</si>
  <si>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</si>
  <si>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</si>
  <si>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</si>
  <si>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</si>
  <si>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</si>
  <si>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</si>
  <si>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</si>
  <si>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</si>
  <si>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</si>
  <si>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</si>
  <si>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</si>
  <si>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</si>
  <si>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</si>
  <si>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</si>
  <si>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</si>
  <si>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</si>
  <si>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</si>
  <si>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</si>
  <si>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</si>
  <si>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</si>
  <si>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</si>
  <si>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</si>
  <si>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</si>
  <si>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</si>
  <si>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</si>
  <si>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</si>
  <si>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</si>
  <si>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</si>
  <si>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</si>
  <si>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</si>
  <si>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</si>
  <si>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</si>
  <si>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</si>
  <si>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</si>
  <si>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</si>
  <si>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</si>
  <si>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</si>
  <si>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</si>
  <si>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</si>
  <si>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</si>
  <si>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</si>
  <si>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</si>
  <si>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</si>
  <si>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</si>
  <si>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</si>
  <si>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</si>
  <si>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</si>
  <si>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</si>
  <si>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</si>
  <si>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</si>
  <si>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</si>
  <si>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</si>
  <si>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</si>
  <si>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</si>
  <si>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</si>
  <si>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</si>
  <si>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</si>
  <si>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</si>
  <si>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</si>
  <si>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</si>
  <si>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</si>
  <si>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</si>
  <si>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</si>
  <si>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</si>
  <si>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</si>
  <si>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</si>
  <si>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</si>
  <si>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</si>
  <si>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</si>
  <si>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</si>
  <si>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</si>
  <si>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</si>
  <si>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</si>
  <si>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</si>
  <si>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</si>
  <si>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</si>
  <si>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</si>
  <si>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</si>
  <si>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</si>
  <si>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</si>
  <si>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</si>
  <si>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</si>
  <si>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</si>
  <si>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</si>
  <si>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</si>
  <si>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</si>
  <si>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</si>
  <si>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</si>
  <si>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</si>
  <si>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</si>
  <si>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</si>
  <si>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</si>
  <si>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</si>
  <si>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</si>
  <si>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</si>
  <si>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</si>
  <si>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</si>
  <si>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</si>
  <si>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</si>
  <si>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</si>
  <si>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</si>
  <si>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</si>
  <si>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</si>
  <si>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</si>
  <si>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</si>
  <si>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</si>
  <si>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</si>
  <si>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</si>
  <si>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</si>
  <si>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</si>
  <si>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</si>
  <si>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</si>
  <si>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</si>
  <si>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</si>
  <si>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</si>
  <si>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</si>
  <si>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</si>
  <si>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</si>
  <si>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</si>
  <si>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</si>
  <si>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</si>
  <si>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</si>
  <si>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</si>
  <si>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</si>
  <si>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</si>
  <si>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</si>
  <si>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</si>
  <si>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</si>
  <si>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</si>
  <si>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</si>
  <si>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</si>
  <si>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</si>
  <si>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</si>
  <si>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</si>
  <si>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</si>
  <si>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</si>
  <si>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</si>
  <si>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</si>
  <si>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</si>
  <si>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</si>
  <si>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</si>
  <si>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</si>
  <si>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</si>
  <si>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</si>
  <si>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</si>
  <si>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</si>
  <si>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</si>
  <si>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</si>
  <si>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</si>
  <si>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</si>
  <si>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</si>
  <si>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</si>
  <si>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</si>
  <si>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</si>
  <si>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</si>
  <si>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</si>
  <si>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</si>
  <si>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</si>
  <si>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</si>
  <si>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</si>
  <si>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</si>
  <si>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</si>
  <si>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</si>
  <si>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</si>
  <si>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</si>
  <si>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</si>
  <si>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</si>
  <si>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</si>
  <si>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</si>
  <si>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</si>
  <si>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</si>
  <si>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</si>
  <si>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</si>
  <si>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</si>
  <si>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</si>
  <si>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</si>
  <si>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</si>
  <si>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</si>
  <si>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</si>
  <si>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</si>
  <si>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</si>
  <si>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</si>
  <si>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</si>
  <si>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</si>
  <si>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</si>
  <si>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</si>
  <si>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</si>
  <si>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</si>
  <si>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</si>
  <si>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</si>
  <si>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</si>
  <si>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</si>
  <si>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</si>
  <si>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</si>
  <si>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</si>
  <si>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</si>
  <si>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</si>
  <si>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</si>
  <si>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</si>
  <si>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</si>
  <si>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</si>
  <si>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</si>
  <si>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</si>
  <si>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</si>
  <si>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</si>
  <si>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</si>
  <si>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</si>
  <si>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</si>
  <si>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</si>
  <si>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</si>
  <si>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</si>
  <si>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</si>
  <si>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</si>
  <si>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</si>
  <si>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</si>
  <si>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</si>
  <si>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</si>
  <si>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</si>
  <si>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</si>
  <si>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</si>
  <si>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</si>
  <si>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</si>
  <si>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</si>
  <si>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</si>
  <si>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</si>
  <si>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</si>
  <si>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</si>
  <si>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</si>
  <si>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</si>
  <si>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</si>
  <si>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</si>
  <si>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</si>
  <si>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</si>
  <si>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</si>
  <si>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</si>
  <si>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</si>
  <si>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</si>
  <si>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</si>
  <si>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</si>
  <si>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</si>
  <si>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</si>
  <si>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</si>
  <si>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</si>
  <si>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</si>
  <si>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</si>
  <si>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</si>
  <si>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</si>
  <si>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</si>
  <si>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</si>
  <si>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</si>
  <si>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</si>
  <si>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</si>
  <si>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</si>
  <si>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</si>
  <si>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</si>
  <si>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</si>
  <si>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</si>
  <si>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</si>
  <si>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</si>
  <si>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</si>
  <si>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</si>
  <si>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</si>
  <si>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</si>
  <si>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</si>
  <si>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</si>
  <si>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</si>
  <si>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</si>
  <si>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</si>
  <si>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</si>
  <si>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</si>
  <si>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</si>
  <si>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</si>
  <si>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</si>
  <si>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</si>
  <si>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</si>
  <si>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</si>
  <si>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</si>
  <si>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</si>
  <si>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</si>
  <si>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</si>
  <si>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</si>
  <si>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</si>
  <si>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</si>
  <si>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</si>
  <si>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</si>
  <si>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</si>
  <si>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</si>
  <si>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</si>
  <si>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</si>
  <si>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</si>
  <si>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</si>
  <si>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</si>
  <si>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</si>
  <si>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</si>
  <si>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</si>
  <si>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</si>
  <si>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</si>
  <si>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</si>
  <si>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</si>
  <si>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</si>
  <si>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</si>
  <si>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</si>
  <si>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</si>
  <si>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</si>
  <si>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</si>
  <si>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</si>
  <si>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</si>
  <si>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</si>
  <si>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</si>
  <si>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</si>
  <si>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</si>
  <si>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</si>
  <si>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</si>
  <si>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</si>
  <si>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</si>
  <si>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</si>
  <si>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</si>
  <si>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</si>
  <si>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</si>
  <si>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</si>
  <si>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</si>
  <si>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</si>
  <si>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</si>
  <si>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</si>
  <si>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</si>
  <si>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</si>
  <si>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</si>
  <si>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</si>
  <si>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</si>
  <si>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</si>
  <si>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</si>
  <si>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</si>
  <si>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</si>
  <si>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</si>
  <si>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</si>
  <si>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</si>
  <si>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</si>
  <si>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</si>
  <si>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</si>
  <si>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</si>
  <si>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</si>
  <si>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</si>
  <si>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</si>
  <si>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</si>
  <si>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</si>
  <si>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</si>
  <si>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</si>
  <si>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</si>
  <si>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</si>
  <si>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</si>
  <si>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</si>
  <si>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</si>
  <si>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</si>
  <si>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</si>
  <si>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</si>
  <si>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</si>
  <si>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</si>
  <si>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</si>
  <si>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</si>
  <si>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</si>
  <si>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</si>
  <si>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</si>
  <si>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</si>
  <si>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</si>
  <si>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</si>
  <si>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</si>
  <si>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</si>
  <si>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</si>
  <si>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</si>
  <si>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</si>
  <si>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</si>
  <si>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</si>
  <si>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</si>
  <si>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</si>
  <si>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</si>
  <si>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</si>
  <si>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</si>
  <si>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</si>
  <si>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</si>
  <si>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</si>
  <si>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</si>
  <si>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</si>
  <si>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</si>
  <si>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</si>
  <si>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</si>
  <si>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</si>
  <si>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</si>
  <si>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</si>
  <si>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</si>
  <si>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</si>
  <si>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</si>
  <si>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</si>
  <si>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</si>
  <si>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</si>
  <si>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</si>
  <si>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</si>
  <si>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</si>
  <si>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</si>
  <si>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</si>
  <si>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</si>
  <si>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</si>
  <si>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</si>
  <si>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</si>
  <si>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</si>
  <si>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</si>
  <si>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</si>
  <si>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</si>
  <si>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</si>
  <si>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</si>
  <si>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</si>
  <si>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</si>
  <si>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</si>
  <si>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</si>
  <si>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</si>
  <si>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</si>
  <si>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</si>
  <si>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</si>
  <si>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</si>
  <si>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</si>
  <si>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</si>
  <si>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</si>
  <si>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</si>
  <si>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</si>
  <si>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</si>
  <si>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</si>
  <si>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</si>
  <si>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</si>
  <si>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</si>
  <si>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</si>
  <si>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</si>
  <si>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</si>
  <si>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</si>
  <si>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</si>
  <si>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</si>
  <si>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</si>
  <si>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</si>
  <si>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</si>
  <si>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</si>
  <si>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</si>
  <si>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</si>
  <si>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</si>
  <si>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</si>
  <si>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</si>
  <si>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</si>
  <si>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</si>
  <si>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</si>
  <si>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</si>
  <si>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</si>
  <si>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</si>
  <si>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</si>
  <si>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</si>
  <si>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</si>
  <si>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</si>
  <si>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</si>
  <si>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</si>
  <si>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</si>
  <si>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</si>
  <si>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</si>
  <si>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</si>
  <si>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</si>
  <si>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</si>
  <si>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</si>
  <si>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</si>
  <si>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</si>
  <si>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</si>
  <si>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</si>
  <si>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</si>
  <si>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</si>
  <si>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</si>
  <si>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</si>
  <si>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</si>
  <si>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</si>
  <si>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</si>
  <si>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</si>
  <si>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</si>
  <si>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</si>
  <si>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</si>
  <si>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</si>
  <si>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</si>
  <si>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</si>
  <si>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</si>
  <si>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</si>
  <si>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</si>
  <si>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</si>
  <si>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</si>
  <si>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</si>
  <si>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</si>
  <si>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</si>
  <si>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</si>
  <si>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</si>
  <si>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</si>
  <si>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</si>
  <si>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</si>
  <si>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</si>
  <si>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</si>
  <si>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</si>
  <si>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</si>
  <si>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</si>
  <si>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</si>
  <si>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</si>
  <si>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</si>
  <si>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</si>
  <si>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</si>
  <si>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</si>
  <si>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</si>
  <si>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</si>
  <si>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</si>
  <si>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</si>
  <si>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</si>
  <si>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</si>
  <si>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</si>
  <si>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</si>
  <si>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</si>
  <si>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</si>
  <si>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</si>
  <si>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</si>
  <si>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</si>
  <si>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</si>
  <si>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</si>
  <si>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</si>
  <si>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</si>
  <si>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</si>
  <si>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</si>
  <si>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</si>
  <si>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</si>
  <si>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</si>
  <si>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</si>
  <si>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</si>
  <si>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</si>
  <si>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</si>
  <si>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</si>
  <si>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</si>
  <si>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</si>
  <si>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</si>
  <si>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</si>
  <si>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</si>
  <si>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</si>
  <si>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</si>
  <si>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</si>
  <si>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</si>
  <si>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</si>
  <si>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</si>
  <si>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</si>
  <si>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</si>
  <si>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</si>
  <si>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</si>
  <si>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</si>
  <si>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</si>
  <si>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</si>
  <si>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</si>
  <si>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</si>
  <si>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</si>
  <si>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</si>
  <si>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</si>
  <si>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</si>
  <si>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</si>
  <si>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</si>
  <si>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</si>
  <si>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</si>
  <si>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</si>
  <si>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</si>
  <si>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</si>
  <si>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</si>
  <si>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</si>
  <si>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</si>
  <si>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</si>
  <si>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</si>
  <si>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</si>
  <si>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</si>
  <si>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</si>
  <si>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</si>
  <si>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</si>
  <si>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</si>
  <si>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</si>
  <si>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</si>
  <si>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</si>
  <si>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</si>
  <si>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</si>
  <si>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</si>
  <si>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</si>
  <si>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</si>
  <si>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</si>
  <si>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</si>
  <si>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</si>
  <si>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</si>
  <si>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</si>
  <si>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</si>
  <si>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</si>
  <si>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</si>
  <si>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</si>
  <si>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</si>
  <si>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</si>
  <si>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</si>
  <si>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</si>
  <si>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</si>
  <si>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</si>
  <si>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</si>
  <si>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</si>
  <si>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</si>
  <si>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</si>
  <si>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</si>
  <si>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</si>
  <si>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</si>
  <si>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</si>
  <si>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</si>
  <si>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</si>
  <si>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</si>
  <si>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</si>
  <si>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</si>
  <si>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</si>
  <si>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</si>
  <si>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</si>
  <si>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</si>
  <si>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</si>
  <si>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</si>
  <si>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</si>
  <si>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</si>
  <si>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</si>
  <si>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</si>
  <si>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</si>
  <si>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</si>
  <si>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</si>
  <si>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</si>
  <si>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</si>
  <si>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</si>
  <si>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</si>
  <si>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</si>
  <si>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</si>
  <si>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</si>
  <si>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</si>
  <si>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</si>
  <si>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</si>
  <si>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</si>
  <si>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</si>
  <si>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</si>
  <si>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</si>
  <si>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</si>
  <si>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</si>
  <si>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</si>
  <si>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</si>
  <si>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</si>
  <si>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</si>
  <si>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</si>
  <si>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</si>
  <si>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</si>
  <si>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</si>
  <si>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</si>
  <si>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</si>
  <si>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</si>
  <si>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</si>
  <si>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</si>
  <si>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</si>
  <si>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</si>
  <si>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</si>
  <si>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</si>
  <si>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</si>
  <si>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</si>
  <si>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</si>
  <si>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</si>
  <si>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</si>
  <si>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</si>
  <si>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</si>
  <si>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</si>
  <si>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</si>
  <si>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</si>
  <si>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</si>
  <si>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</si>
  <si>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</si>
  <si>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</si>
  <si>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</si>
  <si>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</si>
  <si>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</si>
  <si>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</si>
  <si>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</si>
  <si>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</si>
  <si>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</si>
  <si>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</si>
  <si>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</si>
  <si>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</si>
  <si>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</si>
  <si>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</si>
  <si>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</si>
  <si>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</si>
  <si>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</si>
  <si>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</si>
  <si>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</si>
  <si>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</si>
  <si>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</si>
  <si>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</si>
  <si>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</si>
  <si>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</si>
  <si>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</si>
  <si>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</si>
  <si>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</si>
  <si>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</si>
  <si>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</si>
  <si>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</si>
  <si>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</si>
  <si>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</si>
  <si>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</si>
  <si>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</si>
  <si>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</si>
  <si>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</si>
  <si>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</si>
  <si>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</si>
  <si>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</si>
  <si>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</si>
  <si>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</si>
  <si>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</si>
  <si>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</si>
  <si>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</si>
  <si>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</si>
  <si>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</si>
  <si>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</si>
  <si>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</si>
  <si>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</si>
  <si>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</si>
  <si>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</si>
  <si>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</si>
  <si>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</si>
  <si>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</si>
  <si>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</si>
  <si>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</si>
  <si>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</si>
  <si>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</si>
  <si>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</si>
  <si>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</si>
  <si>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</si>
  <si>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</si>
  <si>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</si>
  <si>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</si>
  <si>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</si>
  <si>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</si>
  <si>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</si>
  <si>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</si>
  <si>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</si>
  <si>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</si>
  <si>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</si>
  <si>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</si>
  <si>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</si>
  <si>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</si>
  <si>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</si>
  <si>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</si>
  <si>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</si>
  <si>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</si>
  <si>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</si>
  <si>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</si>
  <si>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</si>
  <si>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</si>
  <si>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</si>
  <si>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</si>
  <si>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</si>
  <si>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</si>
  <si>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</si>
  <si>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</si>
  <si>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</si>
  <si>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</si>
  <si>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</si>
  <si>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</si>
  <si>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</si>
  <si>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</si>
  <si>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</si>
  <si>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</si>
  <si>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</si>
  <si>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</si>
  <si>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</si>
  <si>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</si>
  <si>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</si>
  <si>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</si>
  <si>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</si>
  <si>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</si>
  <si>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</si>
  <si>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</si>
  <si>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</si>
  <si>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</si>
  <si>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</si>
  <si>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</si>
  <si>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</si>
  <si>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</si>
  <si>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</si>
  <si>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</si>
  <si>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</si>
  <si>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</si>
  <si>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</si>
  <si>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</si>
  <si>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</si>
  <si>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</si>
  <si>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</si>
  <si>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</si>
  <si>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</si>
  <si>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</si>
  <si>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</si>
  <si>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</si>
  <si>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</si>
  <si>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</si>
  <si>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</si>
  <si>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</si>
  <si>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</si>
  <si>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</si>
  <si>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</si>
  <si>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</si>
  <si>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</si>
  <si>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</si>
  <si>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</si>
  <si>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</si>
  <si>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</si>
  <si>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</si>
  <si>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</si>
  <si>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</si>
  <si>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</si>
  <si>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</si>
  <si>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</si>
  <si>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</si>
  <si>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</si>
  <si>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</si>
  <si>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</si>
  <si>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</si>
  <si>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</si>
  <si>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</si>
  <si>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</si>
  <si>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</si>
  <si>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</si>
  <si>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</si>
  <si>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</si>
  <si>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</si>
  <si>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</si>
  <si>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</si>
  <si>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</si>
  <si>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</si>
  <si>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</si>
  <si>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</si>
  <si>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</si>
  <si>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</si>
  <si>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</si>
  <si>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</si>
  <si>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</si>
  <si>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</si>
  <si>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</si>
  <si>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</si>
  <si>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</si>
  <si>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</si>
  <si>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</si>
  <si>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</si>
  <si>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</si>
  <si>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</si>
  <si>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</si>
  <si>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</si>
  <si>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</si>
  <si>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</si>
  <si>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</si>
  <si>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</si>
  <si>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</si>
  <si>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</si>
  <si>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</si>
  <si>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</si>
  <si>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</si>
  <si>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</si>
  <si>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</si>
  <si>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</si>
  <si>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</si>
  <si>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</si>
  <si>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</si>
  <si>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</si>
  <si>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</si>
  <si>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</si>
  <si>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</si>
  <si>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</si>
  <si>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</si>
  <si>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</si>
  <si>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</si>
  <si>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</si>
  <si>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</si>
  <si>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</si>
  <si>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</si>
  <si>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</si>
  <si>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</si>
  <si>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</si>
  <si>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</si>
  <si>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</si>
  <si>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</si>
  <si>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</si>
  <si>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</si>
  <si>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</si>
  <si>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</si>
  <si>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</si>
  <si>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</si>
  <si>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</si>
  <si>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</si>
  <si>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</si>
  <si>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</si>
  <si>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</si>
  <si>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</si>
  <si>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</si>
  <si>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</si>
  <si>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</si>
  <si>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</si>
  <si>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</si>
  <si>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</si>
  <si>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</si>
  <si>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</si>
  <si>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</si>
  <si>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</si>
  <si>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</si>
  <si>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</si>
  <si>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</si>
  <si>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</si>
  <si>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</si>
  <si>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</si>
  <si>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</si>
  <si>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</si>
  <si>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</si>
  <si>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</si>
  <si>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</si>
  <si>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</si>
  <si>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</si>
  <si>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</si>
  <si>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</si>
  <si>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</si>
  <si>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</si>
  <si>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</si>
  <si>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</si>
  <si>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</si>
  <si>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</si>
  <si>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</si>
  <si>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</si>
  <si>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</si>
  <si>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</si>
  <si>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</si>
  <si>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</si>
  <si>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</si>
  <si>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</si>
  <si>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</si>
  <si>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</si>
  <si>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</si>
  <si>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</si>
  <si>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</si>
  <si>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</si>
  <si>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</si>
  <si>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</si>
  <si>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</si>
  <si>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</si>
  <si>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</si>
  <si>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</si>
  <si>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</si>
  <si>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</si>
  <si>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</si>
  <si>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</si>
  <si>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</si>
  <si>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</si>
  <si>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</si>
  <si>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</si>
  <si>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</si>
  <si>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</si>
  <si>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</si>
  <si>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</si>
  <si>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</si>
  <si>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</si>
  <si>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</si>
  <si>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</si>
  <si>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</si>
  <si>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</si>
  <si>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</si>
  <si>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</si>
  <si>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</si>
  <si>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</si>
  <si>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</si>
  <si>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</si>
  <si>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</si>
  <si>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</si>
  <si>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</si>
  <si>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</si>
  <si>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</si>
  <si>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</si>
  <si>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</si>
  <si>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</si>
  <si>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</si>
  <si>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</si>
  <si>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</si>
  <si>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</si>
  <si>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</si>
  <si>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</si>
  <si>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</si>
  <si>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</si>
  <si>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</si>
  <si>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</si>
  <si>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</si>
  <si>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</si>
  <si>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</si>
  <si>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</si>
  <si>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</si>
  <si>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</si>
  <si>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</si>
  <si>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</si>
  <si>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</si>
  <si>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</si>
  <si>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</si>
  <si>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</si>
  <si>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</si>
  <si>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</si>
  <si>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</si>
  <si>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</si>
  <si>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</si>
  <si>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</si>
  <si>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</si>
  <si>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</si>
  <si>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</si>
  <si>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</si>
  <si>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</si>
  <si>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</si>
  <si>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</si>
  <si>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</si>
  <si>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</si>
  <si>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</si>
  <si>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</si>
  <si>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</si>
  <si>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</si>
  <si>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</si>
  <si>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</si>
  <si>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</si>
  <si>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</si>
  <si>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</si>
  <si>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</si>
  <si>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</si>
  <si>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</si>
  <si>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</si>
  <si>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</si>
  <si>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</si>
  <si>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</si>
  <si>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</si>
  <si>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</si>
  <si>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</si>
  <si>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</si>
  <si>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</si>
  <si>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</si>
  <si>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</si>
  <si>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</si>
  <si>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</si>
  <si>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</si>
  <si>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</si>
  <si>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</si>
  <si>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</si>
  <si>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</si>
  <si>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</si>
  <si>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</si>
  <si>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</si>
  <si>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</si>
  <si>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</si>
  <si>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</si>
  <si>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</si>
  <si>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</si>
  <si>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</si>
  <si>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</si>
  <si>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</si>
  <si>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</si>
  <si>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</si>
  <si>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</si>
  <si>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</si>
  <si>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</si>
  <si>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</si>
  <si>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</si>
  <si>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</si>
  <si>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</si>
  <si>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</si>
  <si>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</si>
  <si>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</si>
  <si>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</si>
  <si>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</si>
  <si>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</si>
  <si>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</si>
  <si>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</si>
  <si>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</si>
  <si>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</si>
  <si>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</si>
  <si>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</si>
  <si>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</si>
  <si>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</si>
  <si>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</si>
  <si>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</si>
  <si>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</si>
  <si>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</si>
  <si>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</si>
  <si>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</si>
  <si>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</si>
  <si>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</si>
  <si>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</si>
  <si>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</si>
  <si>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</si>
  <si>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</si>
  <si>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</si>
  <si>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</si>
  <si>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</si>
  <si>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</si>
  <si>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</si>
  <si>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</si>
  <si>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</si>
  <si>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</si>
  <si>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</si>
  <si>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</si>
  <si>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</si>
  <si>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</si>
  <si>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</si>
  <si>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</si>
  <si>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</si>
  <si>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</si>
  <si>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</si>
  <si>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</si>
  <si>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</si>
  <si>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</si>
  <si>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</si>
  <si>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</si>
  <si>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</si>
  <si>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</si>
  <si>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</si>
  <si>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</si>
  <si>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</si>
  <si>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</si>
  <si>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</si>
  <si>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</si>
  <si>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</si>
  <si>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</si>
  <si>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</si>
  <si>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</si>
  <si>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</si>
  <si>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</si>
  <si>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</si>
  <si>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</si>
  <si>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</si>
  <si>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</si>
  <si>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</si>
  <si>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</si>
  <si>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</si>
  <si>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</si>
  <si>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</si>
  <si>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</si>
  <si>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</si>
  <si>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</si>
  <si>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</si>
  <si>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</si>
  <si>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</si>
  <si>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</si>
  <si>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</si>
  <si>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</si>
  <si>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</si>
  <si>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</si>
  <si>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</si>
  <si>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</si>
  <si>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</si>
  <si>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</si>
  <si>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</si>
  <si>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</si>
  <si>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</si>
  <si>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</si>
  <si>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</si>
  <si>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</si>
  <si>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</si>
  <si>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</si>
  <si>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</si>
  <si>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</si>
  <si>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</si>
  <si>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</si>
  <si>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</si>
  <si>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</si>
  <si>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</si>
  <si>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</si>
  <si>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</si>
  <si>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</si>
  <si>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</si>
  <si>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</si>
  <si>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</si>
  <si>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</si>
  <si>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</si>
  <si>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</si>
  <si>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</si>
  <si>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</si>
  <si>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</si>
  <si>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</si>
  <si>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</si>
  <si>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</si>
  <si>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</si>
  <si>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</si>
  <si>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</si>
  <si>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</si>
  <si>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</si>
  <si>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</si>
  <si>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</si>
  <si>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</si>
  <si>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</si>
  <si>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</si>
  <si>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</si>
  <si>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</si>
  <si>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</si>
  <si>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</si>
  <si>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</si>
  <si>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</si>
  <si>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</si>
  <si>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</si>
  <si>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</si>
  <si>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</si>
  <si>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</si>
  <si>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</si>
  <si>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</si>
  <si>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</si>
  <si>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</si>
  <si>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</si>
  <si>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</si>
  <si>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</si>
  <si>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</si>
  <si>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</si>
  <si>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</si>
  <si>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</si>
  <si>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</si>
  <si>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</si>
  <si>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</si>
  <si>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</si>
  <si>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</si>
  <si>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</si>
  <si>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</si>
  <si>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</si>
  <si>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</si>
  <si>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</si>
  <si>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</si>
  <si>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</si>
  <si>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</si>
  <si>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</si>
  <si>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</si>
  <si>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</si>
  <si>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</si>
  <si>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</si>
  <si>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</si>
  <si>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</si>
  <si>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</si>
  <si>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</si>
  <si>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</si>
  <si>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</si>
  <si>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</si>
  <si>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</si>
  <si>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</si>
  <si>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</si>
  <si>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</si>
  <si>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</si>
  <si>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</si>
  <si>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</si>
  <si>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</si>
  <si>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</si>
  <si>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</si>
  <si>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</si>
  <si>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</si>
  <si>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</si>
  <si>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</si>
  <si>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</si>
  <si>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</si>
  <si>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</si>
  <si>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</si>
  <si>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</si>
  <si>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</si>
  <si>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</si>
  <si>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</si>
  <si>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</si>
  <si>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</si>
  <si>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</si>
  <si>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</si>
  <si>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</si>
  <si>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</si>
  <si>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</si>
  <si>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</si>
  <si>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</si>
  <si>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</si>
  <si>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</si>
  <si>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</si>
  <si>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</si>
  <si>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</si>
  <si>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</si>
  <si>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</si>
  <si>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</si>
  <si>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</si>
  <si>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</si>
  <si>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</si>
  <si>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</si>
  <si>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</si>
  <si>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</si>
  <si>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</si>
  <si>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</si>
  <si>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</si>
  <si>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</si>
  <si>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</si>
  <si>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</si>
  <si>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</si>
  <si>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</si>
  <si>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</si>
  <si>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</si>
  <si>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</si>
  <si>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</si>
  <si>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</si>
  <si>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</si>
  <si>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</si>
  <si>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</si>
  <si>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</si>
  <si>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</si>
  <si>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</si>
  <si>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</si>
  <si>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</si>
  <si>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</si>
  <si>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</si>
  <si>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</si>
  <si>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</si>
  <si>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</si>
  <si>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</si>
  <si>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</si>
  <si>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</si>
  <si>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</si>
  <si>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</si>
  <si>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</si>
  <si>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</si>
  <si>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</si>
  <si>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</si>
  <si>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</si>
  <si>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</si>
  <si>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</si>
  <si>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</si>
  <si>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</si>
  <si>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</si>
  <si>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</si>
  <si>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</si>
  <si>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</si>
  <si>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</si>
  <si>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</si>
  <si>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</si>
  <si>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</si>
  <si>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</si>
  <si>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</si>
  <si>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</si>
  <si>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</si>
  <si>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</si>
  <si>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</si>
  <si>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</si>
  <si>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</si>
  <si>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</si>
  <si>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</si>
  <si>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</si>
  <si>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</si>
  <si>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</si>
  <si>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</si>
  <si>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</si>
  <si>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</si>
  <si>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</si>
  <si>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</si>
  <si>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</si>
  <si>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</si>
  <si>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</si>
  <si>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</si>
  <si>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</si>
  <si>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</si>
  <si>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</si>
  <si>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</si>
  <si>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</si>
  <si>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</si>
  <si>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</si>
  <si>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</si>
  <si>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</si>
  <si>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</si>
  <si>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</si>
  <si>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</si>
  <si>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</si>
  <si>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</si>
  <si>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</si>
  <si>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</si>
  <si>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</si>
  <si>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</si>
  <si>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</si>
  <si>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</si>
  <si>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</si>
  <si>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</si>
  <si>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</si>
  <si>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</si>
  <si>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</si>
  <si>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</si>
  <si>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</si>
  <si>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</si>
  <si>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</si>
  <si>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</si>
  <si>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</si>
  <si>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</si>
  <si>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</si>
  <si>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</si>
  <si>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</si>
  <si>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</si>
  <si>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</si>
  <si>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</si>
  <si>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</si>
  <si>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</si>
  <si>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</si>
  <si>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</si>
  <si>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</si>
  <si>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</si>
  <si>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</si>
  <si>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</si>
  <si>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</si>
  <si>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</si>
  <si>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</si>
  <si>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</si>
  <si>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</si>
  <si>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</si>
  <si>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</si>
  <si>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</si>
  <si>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</si>
  <si>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</si>
  <si>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</si>
  <si>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</si>
  <si>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</si>
  <si>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</si>
  <si>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</si>
  <si>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</si>
  <si>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</si>
  <si>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</si>
  <si>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</si>
  <si>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</si>
  <si>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</si>
  <si>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</si>
  <si>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</si>
  <si>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</si>
  <si>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</si>
  <si>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</si>
  <si>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</si>
  <si>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</si>
  <si>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</si>
  <si>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</si>
  <si>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</si>
  <si>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</si>
  <si>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</si>
  <si>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</si>
  <si>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</si>
  <si>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</si>
  <si>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</si>
  <si>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</si>
  <si>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</si>
  <si>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</si>
  <si>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</si>
  <si>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</si>
  <si>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</si>
  <si>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</si>
  <si>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</si>
  <si>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</si>
  <si>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</si>
  <si>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</si>
  <si>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</si>
  <si>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</si>
  <si>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</si>
  <si>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</si>
  <si>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</si>
  <si>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</si>
  <si>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</si>
  <si>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</si>
  <si>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</si>
  <si>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</si>
  <si>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</si>
  <si>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</si>
  <si>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</si>
  <si>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</si>
  <si>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</si>
  <si>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</si>
  <si>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</si>
  <si>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</si>
  <si>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</si>
  <si>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</si>
  <si>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</si>
  <si>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</si>
  <si>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</si>
  <si>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</si>
  <si>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</si>
  <si>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</si>
  <si>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</si>
  <si>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</si>
  <si>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</si>
  <si>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</si>
  <si>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</si>
  <si>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</si>
  <si>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</si>
  <si>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</si>
  <si>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</si>
  <si>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</si>
  <si>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</si>
  <si>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</si>
  <si>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</si>
  <si>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</si>
  <si>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</si>
  <si>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</si>
  <si>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</si>
  <si>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</si>
  <si>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</si>
  <si>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</si>
  <si>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</si>
  <si>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</si>
  <si>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</si>
  <si>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</si>
  <si>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</si>
  <si>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</si>
  <si>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</si>
  <si>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</si>
  <si>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</si>
  <si>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</si>
  <si>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</si>
  <si>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</si>
  <si>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</si>
  <si>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</si>
  <si>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</si>
  <si>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</si>
  <si>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</si>
  <si>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</si>
  <si>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</si>
  <si>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</si>
  <si>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</si>
  <si>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</si>
  <si>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</si>
  <si>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</si>
  <si>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</si>
  <si>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</si>
  <si>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</si>
  <si>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</si>
  <si>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</si>
  <si>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</si>
  <si>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</si>
  <si>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</si>
  <si>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</si>
  <si>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</si>
  <si>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</si>
  <si>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</si>
  <si>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</si>
  <si>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</si>
  <si>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</si>
  <si>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</si>
  <si>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</si>
  <si>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</si>
  <si>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</si>
  <si>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</si>
  <si>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</si>
  <si>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</si>
  <si>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</si>
  <si>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</si>
  <si>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</si>
  <si>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</si>
  <si>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</si>
  <si>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</si>
  <si>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</si>
  <si>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</si>
  <si>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</si>
  <si>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</si>
  <si>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</si>
  <si>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</si>
  <si>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</si>
  <si>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</si>
  <si>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</si>
  <si>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</si>
  <si>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</si>
  <si>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</si>
  <si>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</si>
  <si>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</si>
  <si>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</si>
  <si>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</si>
  <si>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</si>
  <si>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</si>
  <si>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</si>
  <si>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</si>
  <si>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</si>
  <si>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</si>
  <si>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</si>
  <si>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</si>
  <si>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</si>
  <si>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</si>
  <si>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</si>
  <si>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</si>
  <si>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</si>
  <si>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</si>
  <si>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</si>
  <si>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</si>
  <si>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</si>
  <si>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</si>
  <si>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</si>
  <si>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</si>
  <si>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</si>
  <si>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</si>
  <si>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</si>
  <si>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</si>
  <si>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</si>
  <si>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</si>
  <si>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</si>
  <si>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</si>
  <si>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</si>
  <si>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</si>
  <si>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</si>
  <si>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</si>
  <si>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</si>
  <si>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</si>
  <si>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</si>
  <si>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</si>
  <si>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</si>
  <si>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</si>
  <si>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</si>
  <si>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</si>
  <si>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</si>
  <si>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</si>
  <si>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</si>
  <si>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</si>
  <si>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</si>
  <si>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</si>
  <si>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</si>
  <si>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</si>
  <si>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</si>
  <si>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</si>
  <si>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</si>
  <si>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</si>
  <si>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</si>
  <si>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</si>
  <si>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</si>
  <si>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</si>
  <si>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</si>
  <si>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</si>
  <si>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</si>
  <si>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</si>
  <si>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</si>
  <si>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</si>
  <si>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</si>
  <si>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</si>
  <si>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</si>
  <si>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</si>
  <si>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</si>
  <si>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</si>
  <si>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</si>
  <si>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</si>
  <si>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</si>
  <si>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</si>
  <si>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</si>
  <si>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</si>
  <si>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</si>
  <si>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</si>
  <si>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</si>
  <si>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</si>
  <si>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</si>
  <si>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</si>
  <si>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</si>
  <si>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</si>
  <si>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</si>
  <si>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</si>
  <si>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</si>
  <si>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</si>
  <si>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</si>
  <si>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</si>
  <si>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</si>
  <si>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</si>
  <si>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</si>
  <si>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</si>
  <si>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</si>
  <si>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</si>
  <si>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</si>
  <si>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</si>
  <si>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</si>
  <si>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</si>
  <si>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</si>
  <si>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</si>
  <si>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</si>
  <si>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</si>
  <si>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</si>
  <si>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</si>
  <si>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</si>
  <si>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</si>
  <si>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</si>
  <si>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</si>
  <si>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</si>
  <si>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</si>
  <si>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</si>
  <si>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</si>
  <si>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</si>
  <si>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</si>
  <si>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</si>
  <si>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</si>
  <si>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</si>
  <si>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</si>
  <si>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</si>
  <si>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</si>
  <si>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</si>
  <si>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</si>
  <si>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</si>
  <si>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</si>
  <si>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</si>
  <si>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</si>
  <si>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</si>
  <si>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</si>
  <si>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</si>
  <si>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</si>
  <si>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</si>
  <si>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</si>
  <si>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</si>
  <si>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</si>
  <si>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</si>
  <si>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</si>
  <si>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</si>
  <si>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</si>
  <si>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</si>
  <si>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</si>
  <si>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</si>
  <si>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</si>
  <si>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</si>
  <si>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</si>
  <si>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</si>
  <si>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</si>
  <si>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</si>
  <si>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</si>
  <si>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</si>
  <si>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</si>
  <si>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</si>
  <si>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</si>
  <si>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</si>
  <si>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</si>
  <si>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</si>
  <si>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</si>
  <si>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</si>
  <si>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</si>
  <si>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</si>
  <si>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</si>
  <si>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</si>
  <si>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</si>
  <si>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</si>
  <si>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</si>
  <si>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</si>
  <si>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</si>
  <si>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</si>
  <si>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</si>
  <si>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</si>
  <si>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</si>
  <si>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</si>
  <si>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</si>
  <si>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</si>
  <si>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</si>
  <si>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</si>
  <si>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</si>
  <si>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</si>
  <si>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</si>
  <si>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</si>
  <si>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</si>
  <si>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</si>
  <si>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</si>
  <si>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</si>
  <si>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</si>
  <si>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</si>
  <si>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</si>
  <si>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</si>
  <si>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</si>
  <si>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</si>
  <si>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</si>
  <si>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</si>
  <si>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</si>
  <si>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</si>
  <si>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</si>
  <si>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</si>
  <si>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</si>
  <si>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</si>
  <si>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</si>
  <si>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</si>
  <si>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</si>
  <si>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</si>
  <si>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</si>
  <si>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</si>
  <si>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</si>
  <si>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</si>
  <si>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</si>
  <si>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</si>
  <si>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</si>
  <si>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</si>
  <si>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</si>
  <si>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</si>
  <si>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</si>
  <si>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</si>
  <si>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</si>
  <si>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</si>
  <si>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</si>
  <si>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</si>
  <si>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</si>
  <si>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</si>
  <si>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</si>
  <si>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</si>
  <si>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</si>
  <si>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</si>
  <si>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</si>
  <si>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</si>
  <si>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</si>
  <si>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</si>
  <si>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</si>
  <si>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</si>
  <si>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</si>
  <si>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</si>
  <si>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</si>
  <si>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</si>
  <si>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</si>
  <si>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</si>
  <si>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</si>
  <si>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</si>
  <si>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</si>
  <si>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</si>
  <si>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</si>
  <si>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</si>
  <si>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</si>
  <si>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</si>
  <si>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</si>
  <si>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</si>
  <si>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</si>
  <si>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</si>
  <si>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</si>
  <si>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</si>
  <si>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</si>
  <si>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</si>
  <si>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</si>
  <si>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</si>
  <si>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</si>
  <si>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</si>
  <si>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</si>
  <si>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</si>
  <si>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</si>
  <si>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</si>
  <si>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</si>
  <si>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</si>
  <si>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</si>
  <si>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</si>
  <si>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</si>
  <si>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</si>
  <si>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</si>
  <si>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</si>
  <si>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</si>
  <si>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</si>
  <si>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</si>
  <si>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</si>
  <si>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</si>
  <si>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</si>
  <si>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</si>
  <si>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</si>
  <si>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</si>
  <si>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</si>
  <si>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</si>
  <si>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</si>
  <si>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</si>
  <si>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</si>
  <si>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</si>
  <si>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</si>
  <si>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</si>
  <si>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</si>
  <si>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</si>
  <si>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</si>
  <si>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</si>
  <si>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</si>
  <si>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</si>
  <si>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</si>
  <si>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</si>
  <si>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</si>
  <si>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</si>
  <si>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</si>
  <si>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</si>
  <si>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</si>
  <si>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</si>
  <si>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</si>
  <si>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</si>
  <si>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</si>
  <si>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</si>
  <si>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</si>
  <si>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</si>
  <si>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</si>
  <si>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</si>
  <si>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</si>
  <si>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</si>
  <si>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</si>
  <si>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</si>
  <si>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</si>
  <si>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</si>
  <si>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</si>
  <si>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</si>
  <si>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</si>
  <si>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</si>
  <si>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</si>
  <si>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</si>
  <si>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</si>
  <si>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</si>
  <si>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</si>
  <si>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</si>
  <si>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</si>
  <si>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</si>
  <si>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</si>
  <si>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</si>
  <si>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</si>
  <si>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</si>
  <si>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</si>
  <si>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</si>
  <si>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</si>
  <si>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</si>
  <si>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</si>
  <si>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</si>
  <si>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</si>
  <si>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</si>
  <si>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</si>
  <si>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</si>
  <si>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</si>
  <si>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</si>
  <si>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</si>
  <si>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</si>
  <si>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</si>
  <si>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</si>
  <si>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</si>
  <si>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</si>
  <si>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</si>
  <si>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</si>
  <si>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</si>
  <si>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</si>
  <si>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</si>
  <si>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</si>
  <si>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</si>
  <si>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</si>
  <si>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</si>
  <si>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</si>
  <si>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</si>
  <si>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</si>
  <si>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</si>
  <si>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</si>
  <si>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</si>
  <si>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</si>
  <si>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</si>
  <si>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</si>
  <si>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</si>
  <si>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</si>
  <si>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</si>
  <si>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</si>
  <si>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</si>
  <si>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</si>
  <si>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</si>
  <si>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</si>
  <si>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</si>
  <si>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</si>
  <si>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</si>
  <si>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</si>
  <si>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</si>
  <si>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</si>
  <si>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</si>
  <si>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</si>
  <si>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</si>
  <si>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</si>
  <si>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</si>
  <si>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</si>
  <si>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</si>
  <si>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</si>
  <si>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</si>
  <si>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</si>
  <si>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</si>
  <si>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</si>
  <si>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</si>
  <si>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</si>
  <si>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</si>
  <si>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</si>
  <si>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</si>
  <si>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</si>
  <si>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</si>
  <si>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</si>
  <si>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</si>
  <si>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</si>
  <si>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</si>
  <si>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</si>
  <si>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</si>
  <si>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</si>
  <si>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</si>
  <si>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</si>
  <si>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</si>
  <si>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</si>
  <si>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</si>
  <si>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</si>
  <si>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</si>
  <si>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</si>
  <si>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</si>
  <si>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</si>
  <si>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</si>
  <si>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</si>
  <si>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</si>
  <si>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</si>
  <si>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</si>
  <si>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</si>
  <si>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</si>
  <si>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</si>
  <si>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</si>
  <si>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</si>
  <si>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</si>
  <si>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</si>
  <si>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</si>
  <si>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</si>
  <si>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</si>
  <si>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</si>
  <si>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</si>
  <si>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</si>
  <si>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</si>
  <si>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</si>
  <si>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</si>
  <si>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</si>
  <si>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</si>
  <si>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</si>
  <si>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</si>
  <si>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</si>
  <si>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</si>
  <si>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</si>
  <si>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</si>
  <si>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</si>
  <si>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</si>
  <si>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</si>
  <si>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</si>
  <si>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</si>
  <si>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</si>
  <si>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</si>
  <si>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</si>
  <si>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</si>
  <si>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</si>
  <si>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</si>
  <si>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</si>
  <si>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</si>
  <si>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</si>
  <si>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</si>
  <si>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</si>
  <si>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</si>
  <si>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</si>
  <si>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</si>
  <si>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</si>
  <si>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</si>
  <si>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</si>
  <si>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</si>
  <si>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</si>
  <si>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</si>
  <si>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</si>
  <si>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</si>
  <si>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</si>
  <si>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</si>
  <si>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</si>
  <si>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</si>
  <si>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</si>
  <si>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</si>
  <si>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</si>
  <si>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</si>
  <si>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</si>
  <si>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</si>
  <si>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</si>
  <si>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</si>
  <si>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</si>
  <si>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</si>
  <si>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</si>
  <si>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</si>
  <si>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</si>
  <si>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</si>
  <si>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</si>
  <si>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</si>
  <si>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</si>
  <si>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</si>
  <si>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</si>
  <si>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</si>
  <si>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</si>
  <si>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</si>
  <si>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</si>
  <si>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</si>
  <si>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</si>
  <si>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</si>
  <si>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</si>
  <si>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</si>
  <si>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</si>
  <si>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</si>
  <si>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</si>
  <si>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</si>
  <si>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</si>
  <si>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</si>
  <si>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</si>
  <si>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</si>
  <si>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</si>
  <si>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</si>
  <si>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</si>
  <si>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</si>
  <si>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</si>
  <si>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</si>
  <si>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</si>
  <si>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</si>
  <si>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</si>
  <si>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</si>
  <si>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</si>
  <si>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</si>
  <si>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</si>
  <si>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</si>
  <si>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</si>
  <si>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</si>
  <si>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</si>
  <si>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</si>
  <si>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</si>
  <si>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</si>
  <si>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</si>
  <si>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</si>
  <si>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</si>
  <si>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</si>
  <si>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</si>
  <si>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</si>
  <si>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</si>
  <si>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</si>
  <si>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</si>
  <si>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</si>
  <si>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</si>
  <si>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</si>
  <si>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</si>
  <si>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</si>
  <si>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</si>
  <si>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</si>
  <si>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</si>
  <si>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</si>
  <si>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</si>
  <si>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</si>
  <si>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</si>
  <si>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</si>
  <si>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</si>
  <si>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</si>
  <si>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</si>
  <si>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</si>
  <si>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</si>
  <si>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</si>
  <si>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</si>
  <si>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</si>
  <si>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</si>
  <si>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</si>
  <si>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</si>
  <si>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</si>
  <si>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</si>
  <si>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</si>
  <si>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</si>
  <si>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</si>
  <si>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</si>
  <si>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</si>
  <si>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</si>
  <si>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</si>
  <si>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</si>
  <si>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</si>
  <si>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</si>
  <si>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</si>
  <si>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</si>
  <si>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</si>
  <si>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</si>
  <si>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</si>
  <si>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</si>
  <si>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</si>
  <si>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</si>
  <si>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</si>
  <si>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</si>
  <si>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</si>
  <si>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</si>
  <si>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</si>
  <si>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</si>
  <si>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</si>
  <si>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</si>
  <si>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</si>
  <si>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</si>
  <si>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</si>
  <si>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</si>
  <si>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</si>
  <si>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</si>
  <si>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</si>
  <si>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</si>
  <si>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</si>
  <si>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</si>
  <si>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</si>
  <si>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</si>
  <si>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</si>
  <si>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</si>
  <si>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</si>
  <si>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</si>
  <si>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</si>
  <si>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</si>
  <si>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</si>
  <si>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</si>
  <si>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</si>
  <si>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</si>
  <si>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</si>
  <si>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</si>
  <si>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</si>
  <si>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</si>
  <si>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</si>
  <si>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</si>
  <si>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</si>
  <si>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</si>
  <si>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</si>
  <si>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</si>
  <si>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</si>
  <si>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</si>
  <si>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</si>
  <si>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</si>
  <si>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</si>
  <si>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</si>
  <si>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</si>
  <si>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</si>
  <si>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</si>
  <si>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</si>
  <si>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</si>
  <si>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</si>
  <si>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</si>
  <si>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</si>
  <si>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</si>
  <si>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</si>
  <si>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</si>
  <si>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</si>
  <si>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</si>
  <si>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</si>
  <si>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</si>
  <si>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</si>
  <si>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</si>
  <si>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</si>
  <si>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</si>
  <si>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</si>
  <si>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</si>
  <si>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</si>
  <si>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</si>
  <si>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</si>
  <si>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</si>
  <si>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</si>
  <si>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</si>
  <si>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</si>
  <si>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</si>
  <si>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</si>
  <si>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</si>
  <si>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</si>
  <si>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</si>
  <si>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</si>
  <si>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</si>
  <si>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</si>
  <si>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</si>
  <si>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</si>
  <si>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</si>
  <si>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</si>
  <si>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</si>
  <si>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</si>
  <si>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</si>
  <si>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</si>
  <si>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</si>
  <si>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</si>
  <si>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</si>
  <si>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</si>
  <si>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</si>
  <si>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</si>
  <si>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</si>
  <si>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</si>
  <si>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</si>
  <si>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</si>
  <si>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</si>
  <si>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</si>
  <si>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</si>
  <si>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</si>
  <si>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</si>
  <si>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</si>
  <si>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</si>
  <si>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</si>
  <si>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</si>
  <si>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</si>
  <si>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</si>
  <si>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</si>
  <si>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</si>
  <si>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</si>
  <si>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</si>
  <si>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</si>
  <si>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</si>
  <si>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</si>
  <si>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</si>
  <si>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</si>
  <si>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</si>
  <si>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</si>
  <si>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</si>
  <si>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</si>
  <si>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</si>
  <si>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</si>
  <si>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</si>
  <si>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</si>
  <si>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</si>
  <si>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</si>
  <si>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</si>
  <si>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</si>
  <si>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</si>
  <si>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</si>
  <si>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</si>
  <si>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</si>
  <si>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</si>
  <si>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</si>
  <si>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</si>
  <si>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</si>
  <si>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</si>
  <si>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</si>
  <si>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</si>
  <si>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</si>
  <si>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</si>
  <si>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</si>
  <si>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</si>
  <si>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</si>
  <si>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</si>
  <si>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</si>
  <si>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</si>
  <si>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</si>
  <si>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</si>
  <si>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</si>
  <si>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</si>
  <si>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</si>
  <si>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</si>
  <si>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</si>
  <si>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</si>
  <si>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</si>
  <si>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</si>
  <si>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</si>
  <si>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</si>
  <si>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</si>
  <si>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</si>
  <si>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</si>
  <si>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</si>
  <si>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</si>
  <si>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</si>
  <si>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</si>
  <si>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</si>
  <si>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</si>
  <si>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</si>
  <si>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</si>
  <si>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</si>
  <si>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</si>
  <si>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</si>
  <si>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</si>
  <si>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</si>
  <si>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</si>
  <si>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</si>
  <si>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</si>
  <si>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</si>
  <si>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</si>
  <si>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</si>
  <si>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</si>
  <si>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</si>
  <si>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</si>
  <si>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</si>
  <si>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</si>
  <si>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</si>
  <si>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</si>
  <si>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</si>
  <si>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</si>
  <si>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</si>
  <si>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</si>
  <si>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</si>
  <si>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</si>
  <si>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</si>
  <si>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</si>
  <si>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</si>
  <si>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</si>
  <si>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</si>
  <si>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</si>
  <si>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</si>
  <si>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</si>
  <si>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</si>
  <si>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</si>
  <si>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</si>
  <si>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</si>
  <si>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</si>
  <si>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</si>
  <si>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</si>
  <si>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</si>
  <si>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</si>
  <si>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</si>
  <si>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</si>
  <si>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</si>
  <si>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</si>
  <si>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</si>
  <si>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</si>
  <si>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</si>
  <si>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</si>
  <si>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</si>
  <si>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</si>
  <si>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</si>
  <si>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</si>
  <si>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</si>
  <si>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</si>
  <si>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</si>
  <si>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</si>
  <si>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</si>
  <si>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</si>
  <si>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</si>
  <si>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</si>
  <si>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</si>
  <si>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</si>
  <si>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</si>
  <si>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</si>
  <si>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</si>
  <si>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</si>
  <si>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</si>
  <si>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</si>
  <si>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</si>
  <si>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</si>
  <si>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</si>
  <si>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</si>
  <si>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</si>
  <si>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</si>
  <si>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</si>
  <si>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</si>
  <si>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</si>
  <si>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</si>
  <si>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</si>
  <si>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</si>
  <si>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</si>
  <si>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</si>
  <si>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</si>
  <si>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</si>
  <si>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</si>
  <si>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</si>
  <si>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</si>
  <si>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</si>
  <si>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</si>
  <si>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</si>
  <si>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</si>
  <si>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</si>
  <si>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</si>
  <si>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</si>
  <si>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</si>
  <si>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</si>
  <si>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</si>
  <si>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</si>
  <si>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</si>
  <si>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</si>
  <si>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</si>
  <si>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</si>
  <si>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</si>
  <si>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</si>
  <si>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</si>
  <si>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</si>
  <si>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</si>
  <si>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</si>
  <si>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</si>
  <si>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</si>
  <si>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</si>
  <si>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</si>
  <si>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</si>
  <si>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</si>
  <si>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</si>
  <si>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</si>
  <si>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</si>
  <si>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</si>
  <si>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</si>
  <si>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</si>
  <si>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</si>
  <si>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</si>
  <si>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</si>
  <si>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</si>
  <si>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</si>
  <si>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</si>
  <si>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</si>
  <si>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</si>
  <si>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</si>
  <si>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</si>
  <si>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</si>
  <si>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</si>
  <si>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</si>
  <si>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</si>
  <si>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</si>
  <si>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</si>
  <si>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</si>
  <si>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</si>
  <si>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</si>
  <si>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</si>
  <si>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</si>
  <si>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</si>
  <si>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</si>
  <si>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</si>
  <si>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</si>
  <si>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</si>
  <si>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</si>
  <si>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</si>
  <si>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</si>
  <si>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</si>
  <si>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</si>
  <si>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</si>
  <si>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</si>
  <si>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</si>
  <si>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</si>
  <si>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</si>
  <si>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</si>
  <si>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</si>
  <si>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</si>
  <si>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</si>
  <si>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</si>
  <si>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</si>
  <si>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</si>
  <si>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</si>
  <si>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</si>
  <si>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</si>
  <si>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</si>
  <si>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</si>
  <si>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</si>
  <si>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</si>
  <si>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</si>
  <si>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</si>
  <si>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</si>
  <si>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</si>
  <si>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</si>
  <si>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</si>
  <si>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</si>
  <si>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</si>
  <si>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</si>
  <si>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</si>
  <si>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</si>
  <si>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</si>
  <si>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</si>
  <si>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</si>
  <si>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</si>
  <si>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</si>
  <si>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</si>
  <si>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</si>
  <si>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</si>
  <si>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</si>
  <si>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</si>
  <si>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</si>
  <si>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</si>
  <si>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</si>
  <si>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</si>
  <si>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</si>
  <si>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</si>
  <si>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</si>
  <si>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</si>
  <si>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</si>
  <si>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</si>
  <si>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</si>
  <si>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</si>
  <si>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</si>
  <si>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</si>
  <si>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</si>
  <si>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</si>
  <si>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</si>
  <si>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</si>
  <si>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</si>
  <si>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</si>
  <si>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</si>
  <si>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</si>
  <si>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</si>
  <si>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</si>
  <si>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</si>
  <si>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</si>
  <si>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</si>
  <si>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</si>
  <si>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</si>
  <si>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</si>
  <si>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</si>
  <si>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</si>
  <si>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</si>
  <si>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</si>
  <si>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</si>
  <si>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</si>
  <si>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</si>
  <si>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</si>
  <si>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</si>
  <si>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</si>
  <si>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</si>
  <si>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</si>
  <si>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</si>
  <si>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</si>
  <si>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</si>
  <si>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</si>
  <si>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</si>
  <si>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</si>
  <si>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</si>
  <si>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</si>
  <si>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</si>
  <si>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</si>
  <si>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</si>
  <si>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</si>
  <si>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</si>
  <si>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</si>
  <si>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</si>
  <si>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</si>
  <si>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</si>
  <si>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</si>
  <si>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</si>
  <si>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</si>
  <si>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</si>
  <si>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</si>
  <si>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</si>
  <si>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</si>
  <si>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</si>
  <si>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</si>
  <si>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</si>
  <si>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</si>
  <si>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</si>
  <si>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</si>
  <si>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</si>
  <si>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</si>
  <si>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</si>
  <si>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</si>
  <si>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</si>
  <si>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</si>
  <si>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</si>
  <si>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</si>
  <si>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</si>
  <si>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</si>
  <si>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</si>
  <si>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</si>
  <si>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</si>
  <si>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</si>
  <si>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</si>
  <si>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</si>
  <si>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</si>
  <si>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</si>
  <si>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</si>
  <si>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</si>
  <si>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</si>
  <si>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</si>
  <si>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</si>
  <si>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</si>
  <si>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</si>
  <si>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</si>
  <si>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</si>
  <si>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</si>
  <si>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</si>
  <si>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</si>
  <si>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</si>
  <si>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</si>
  <si>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</si>
  <si>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</si>
  <si>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</si>
  <si>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</si>
  <si>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</si>
  <si>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</si>
  <si>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</si>
  <si>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</si>
  <si>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</si>
  <si>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</si>
  <si>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</si>
  <si>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</si>
  <si>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</si>
  <si>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</si>
  <si>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</si>
  <si>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</si>
  <si>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</si>
  <si>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</si>
  <si>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</si>
  <si>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</si>
  <si>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</si>
  <si>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</si>
  <si>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</si>
  <si>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</si>
  <si>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</si>
  <si>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</si>
  <si>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</si>
  <si>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</si>
  <si>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</si>
  <si>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</si>
  <si>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</si>
  <si>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</si>
  <si>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</si>
  <si>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</si>
  <si>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</si>
  <si>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</si>
  <si>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</si>
  <si>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</si>
  <si>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</si>
  <si>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</si>
  <si>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</si>
  <si>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</si>
  <si>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</si>
  <si>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</si>
  <si>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</si>
  <si>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</si>
  <si>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</si>
  <si>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</si>
  <si>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</si>
  <si>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</si>
  <si>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</si>
  <si>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</si>
  <si>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</si>
  <si>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</si>
  <si>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</si>
  <si>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</si>
  <si>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</si>
  <si>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</si>
  <si>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</si>
  <si>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</si>
  <si>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</si>
  <si>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</si>
  <si>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</si>
  <si>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</si>
  <si>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</si>
  <si>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</si>
  <si>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</si>
  <si>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</si>
  <si>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</si>
  <si>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</si>
  <si>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</si>
  <si>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</si>
  <si>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</si>
  <si>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</si>
  <si>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</si>
  <si>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</si>
  <si>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</si>
  <si>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</si>
  <si>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</si>
  <si>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</si>
  <si>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</si>
  <si>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</si>
  <si>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</si>
  <si>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</si>
  <si>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</si>
  <si>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</si>
  <si>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</si>
  <si>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</si>
  <si>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</si>
  <si>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</si>
  <si>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</si>
  <si>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</si>
  <si>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</si>
  <si>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</si>
  <si>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</si>
  <si>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</si>
  <si>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</si>
  <si>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</si>
  <si>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</si>
  <si>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</si>
  <si>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</si>
  <si>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</si>
  <si>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</si>
  <si>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</si>
  <si>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</si>
  <si>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</si>
  <si>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</si>
  <si>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</si>
  <si>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</si>
  <si>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</si>
  <si>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</si>
  <si>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</si>
  <si>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</si>
  <si>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</si>
  <si>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</si>
  <si>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</si>
  <si>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</si>
  <si>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</si>
  <si>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</si>
  <si>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</si>
  <si>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</si>
  <si>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</si>
  <si>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</si>
  <si>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</si>
  <si>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</si>
  <si>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</si>
  <si>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</si>
  <si>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</si>
  <si>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</si>
  <si>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</si>
  <si>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</si>
  <si>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</si>
  <si>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</si>
  <si>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</si>
  <si>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</si>
  <si>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</si>
  <si>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</si>
  <si>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</si>
  <si>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</si>
  <si>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</si>
  <si>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</si>
  <si>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</si>
  <si>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</si>
  <si>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</si>
  <si>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</si>
  <si>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</si>
  <si>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</si>
  <si>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</si>
  <si>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</si>
  <si>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</si>
  <si>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</si>
  <si>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</si>
  <si>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</si>
  <si>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</si>
  <si>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</si>
  <si>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</si>
  <si>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</si>
  <si>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</si>
  <si>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</si>
  <si>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</si>
  <si>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</si>
  <si>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</si>
  <si>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</si>
  <si>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</si>
  <si>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</si>
  <si>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</si>
  <si>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</si>
  <si>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</si>
  <si>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</si>
  <si>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</si>
  <si>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</si>
  <si>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</si>
  <si>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</si>
  <si>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</si>
  <si>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</si>
  <si>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</si>
  <si>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</si>
  <si>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</si>
  <si>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</si>
  <si>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</si>
  <si>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</si>
  <si>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</si>
  <si>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</si>
  <si>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</si>
  <si>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</si>
  <si>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</si>
  <si>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</si>
  <si>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</si>
  <si>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</si>
  <si>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</si>
  <si>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</si>
  <si>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</si>
  <si>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</si>
  <si>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</si>
  <si>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</si>
  <si>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</si>
  <si>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</si>
  <si>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</si>
  <si>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</si>
  <si>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</si>
  <si>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</si>
  <si>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</si>
  <si>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</si>
  <si>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</si>
  <si>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</si>
  <si>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</si>
  <si>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</si>
  <si>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</si>
  <si>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</si>
  <si>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</si>
  <si>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</si>
  <si>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</si>
  <si>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</si>
  <si>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</si>
  <si>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</si>
  <si>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</si>
  <si>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</si>
  <si>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</si>
  <si>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</si>
  <si>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</si>
  <si>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</si>
  <si>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</si>
  <si>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</si>
  <si>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</si>
  <si>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</si>
  <si>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</si>
  <si>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</si>
  <si>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</si>
  <si>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</si>
  <si>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</si>
  <si>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</si>
  <si>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</si>
  <si>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</si>
  <si>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</si>
  <si>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</si>
  <si>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</si>
  <si>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</si>
  <si>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</si>
  <si>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</si>
  <si>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</si>
  <si>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</si>
  <si>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</si>
  <si>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</si>
  <si>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</si>
  <si>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</si>
  <si>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</si>
  <si>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</si>
  <si>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</si>
  <si>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</si>
  <si>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</si>
  <si>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</si>
  <si>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</si>
  <si>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</si>
  <si>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</si>
  <si>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</si>
  <si>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</si>
  <si>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</si>
  <si>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</si>
  <si>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</si>
  <si>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</si>
  <si>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</si>
  <si>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</si>
  <si>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</si>
  <si>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</si>
  <si>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</si>
  <si>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</si>
  <si>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</si>
  <si>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</si>
  <si>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</si>
  <si>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</si>
  <si>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</si>
  <si>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</si>
  <si>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</si>
  <si>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</si>
  <si>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</si>
  <si>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</si>
  <si>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</si>
  <si>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</si>
  <si>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</si>
  <si>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</si>
  <si>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</si>
  <si>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</si>
  <si>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</si>
  <si>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</si>
  <si>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</si>
  <si>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</si>
  <si>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</si>
  <si>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</si>
  <si>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</si>
  <si>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</si>
  <si>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</si>
  <si>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</si>
  <si>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</si>
  <si>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</si>
  <si>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</si>
  <si>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</si>
  <si>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</si>
  <si>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</si>
  <si>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</si>
  <si>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</si>
  <si>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</si>
  <si>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</si>
  <si>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</si>
  <si>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</si>
  <si>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</si>
  <si>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</si>
  <si>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</si>
  <si>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</si>
  <si>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</si>
  <si>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</si>
  <si>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</si>
  <si>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</si>
  <si>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</si>
  <si>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</si>
  <si>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</si>
  <si>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</si>
  <si>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</si>
  <si>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</si>
  <si>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</si>
  <si>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</si>
  <si>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</si>
  <si>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</si>
  <si>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</si>
  <si>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</si>
  <si>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</si>
  <si>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</si>
  <si>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</si>
  <si>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</si>
  <si>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</si>
  <si>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</si>
  <si>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</si>
  <si>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</si>
  <si>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</si>
  <si>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</si>
  <si>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</si>
  <si>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</si>
  <si>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</si>
  <si>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</si>
  <si>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</si>
  <si>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</si>
  <si>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</si>
  <si>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</si>
  <si>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</si>
  <si>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</si>
  <si>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</si>
  <si>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</si>
  <si>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</si>
  <si>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</si>
  <si>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</si>
  <si>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</si>
  <si>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</si>
  <si>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</si>
  <si>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</si>
  <si>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</si>
  <si>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</si>
  <si>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</si>
  <si>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</si>
  <si>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</si>
  <si>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</si>
  <si>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</si>
  <si>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</si>
  <si>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</si>
  <si>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</si>
  <si>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</si>
  <si>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</si>
  <si>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</si>
  <si>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</si>
  <si>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</si>
  <si>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</si>
  <si>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</si>
  <si>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</si>
  <si>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</si>
  <si>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</si>
  <si>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</si>
  <si>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</si>
  <si>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</si>
  <si>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</si>
  <si>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</si>
  <si>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</si>
  <si>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</si>
  <si>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</si>
  <si>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</si>
  <si>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</si>
  <si>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</si>
  <si>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</si>
  <si>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</si>
  <si>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</si>
  <si>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</si>
  <si>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</si>
  <si>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</si>
  <si>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</si>
  <si>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</si>
  <si>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</si>
  <si>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</si>
  <si>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</si>
  <si>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</si>
  <si>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</si>
  <si>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</si>
  <si>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</si>
  <si>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</si>
  <si>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</si>
  <si>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</si>
  <si>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</si>
  <si>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</si>
  <si>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</si>
  <si>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</si>
  <si>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</si>
  <si>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</si>
  <si>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</si>
  <si>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</si>
  <si>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</si>
  <si>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</si>
  <si>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</si>
  <si>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</si>
  <si>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</si>
  <si>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</si>
  <si>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</si>
  <si>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</si>
  <si>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</si>
  <si>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</si>
  <si>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</si>
  <si>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</si>
  <si>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</si>
  <si>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</si>
  <si>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</si>
  <si>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</si>
  <si>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</si>
  <si>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</si>
  <si>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</si>
  <si>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</si>
  <si>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</si>
  <si>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</si>
  <si>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</si>
  <si>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</si>
  <si>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</si>
  <si>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</si>
  <si>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</si>
  <si>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</si>
  <si>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</si>
  <si>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</si>
  <si>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</si>
  <si>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</si>
  <si>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</si>
  <si>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</si>
  <si>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</si>
  <si>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</si>
  <si>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</si>
  <si>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</si>
  <si>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</si>
  <si>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</si>
  <si>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</si>
  <si>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</si>
  <si>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</si>
  <si>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</si>
  <si>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</si>
  <si>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</si>
  <si>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</si>
  <si>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</si>
  <si>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</si>
  <si>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</si>
  <si>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</si>
  <si>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</si>
  <si>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</si>
  <si>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</si>
  <si>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</si>
  <si>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</si>
  <si>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</si>
  <si>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</si>
  <si>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</si>
  <si>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</si>
  <si>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</si>
  <si>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</si>
  <si>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</si>
  <si>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</si>
  <si>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</si>
  <si>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</si>
  <si>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</si>
  <si>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</si>
  <si>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</si>
  <si>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</si>
  <si>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</si>
  <si>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</si>
  <si>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</si>
  <si>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</si>
  <si>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</si>
  <si>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</si>
  <si>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</si>
  <si>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</si>
  <si>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</si>
  <si>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</si>
  <si>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</si>
  <si>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</si>
  <si>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</si>
  <si>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</si>
  <si>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</si>
  <si>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</si>
  <si>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</si>
  <si>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</si>
  <si>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</si>
  <si>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</si>
  <si>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</si>
  <si>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</si>
  <si>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</si>
  <si>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</si>
  <si>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</si>
  <si>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</si>
  <si>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</si>
  <si>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</si>
  <si>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</si>
  <si>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</si>
  <si>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</si>
  <si>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</si>
  <si>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</si>
  <si>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</si>
  <si>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</si>
  <si>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</si>
  <si>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</si>
  <si>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</si>
  <si>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</si>
  <si>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</si>
  <si>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</si>
  <si>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</si>
  <si>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</si>
  <si>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</si>
  <si>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</si>
  <si>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</si>
  <si>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</si>
  <si>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</si>
  <si>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</si>
  <si>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</si>
  <si>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</si>
  <si>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</si>
  <si>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</si>
  <si>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</si>
  <si>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</si>
  <si>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</si>
  <si>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</si>
  <si>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</si>
  <si>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</si>
  <si>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</si>
  <si>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</si>
  <si>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</si>
  <si>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</si>
  <si>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</si>
  <si>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</si>
  <si>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</si>
  <si>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</si>
  <si>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</si>
  <si>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</si>
  <si>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</si>
  <si>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</si>
  <si>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</si>
  <si>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</si>
  <si>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</si>
  <si>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</si>
  <si>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</si>
  <si>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</si>
  <si>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</si>
  <si>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</si>
  <si>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</si>
  <si>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</si>
  <si>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</si>
  <si>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</si>
  <si>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</si>
  <si>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</si>
  <si>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</si>
  <si>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</si>
  <si>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</si>
  <si>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</si>
  <si>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</si>
  <si>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</si>
  <si>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</si>
  <si>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</si>
  <si>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</si>
  <si>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</si>
  <si>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</si>
  <si>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</si>
  <si>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</si>
  <si>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</si>
  <si>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</si>
  <si>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</si>
  <si>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</si>
  <si>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</si>
  <si>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</si>
  <si>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</si>
  <si>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</si>
  <si>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</si>
  <si>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</si>
  <si>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</si>
  <si>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</si>
  <si>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</si>
  <si>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</si>
  <si>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</si>
  <si>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</si>
  <si>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</si>
  <si>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</si>
  <si>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</si>
  <si>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</si>
  <si>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</si>
  <si>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</si>
  <si>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</si>
  <si>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</si>
  <si>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</si>
  <si>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</si>
  <si>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</si>
  <si>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</si>
  <si>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</si>
  <si>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</si>
  <si>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</si>
  <si>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</si>
  <si>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</si>
  <si>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</si>
  <si>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</si>
  <si>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</si>
  <si>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</si>
  <si>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</si>
  <si>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</si>
  <si>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</si>
  <si>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</si>
  <si>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</si>
  <si>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</si>
  <si>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</si>
  <si>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</si>
  <si>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</si>
  <si>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</si>
  <si>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</si>
  <si>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</si>
  <si>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</si>
  <si>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</si>
  <si>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</si>
  <si>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</si>
  <si>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</si>
  <si>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</si>
  <si>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</si>
  <si>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</si>
  <si>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</si>
  <si>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</si>
  <si>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</si>
  <si>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</si>
  <si>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</si>
  <si>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</si>
  <si>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</si>
  <si>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</si>
  <si>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</si>
  <si>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</si>
  <si>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</si>
  <si>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</si>
  <si>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</si>
  <si>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</si>
  <si>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</si>
  <si>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</si>
  <si>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</si>
  <si>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</si>
  <si>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</si>
  <si>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</si>
  <si>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</si>
  <si>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</si>
  <si>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</si>
  <si>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</si>
  <si>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</si>
  <si>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</si>
  <si>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</si>
  <si>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</si>
  <si>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</si>
  <si>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</si>
  <si>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</si>
  <si>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</si>
  <si>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</si>
  <si>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</si>
  <si>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</si>
  <si>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</si>
  <si>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</si>
  <si>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</si>
  <si>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</si>
  <si>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</si>
  <si>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</si>
  <si>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</si>
  <si>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</si>
  <si>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</si>
  <si>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</si>
  <si>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</si>
  <si>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</si>
  <si>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</si>
  <si>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</si>
  <si>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</si>
  <si>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</si>
  <si>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</si>
  <si>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</si>
  <si>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</si>
  <si>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</si>
  <si>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</si>
  <si>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</si>
  <si>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</si>
  <si>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</si>
  <si>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</si>
  <si>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</si>
  <si>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</si>
  <si>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</si>
  <si>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</si>
  <si>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</si>
  <si>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</si>
  <si>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</si>
  <si>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</si>
  <si>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</si>
  <si>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</si>
  <si>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</si>
  <si>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</si>
  <si>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</si>
  <si>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</si>
  <si>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</si>
  <si>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</si>
  <si>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</si>
  <si>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</si>
  <si>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</si>
  <si>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</si>
  <si>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</si>
  <si>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</si>
  <si>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</si>
  <si>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</si>
  <si>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</si>
  <si>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</si>
  <si>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</si>
  <si>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</si>
  <si>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</si>
  <si>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</si>
  <si>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</si>
  <si>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</si>
  <si>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</si>
  <si>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</si>
  <si>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</si>
  <si>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</si>
  <si>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</si>
  <si>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</si>
  <si>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</si>
  <si>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</si>
  <si>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</si>
  <si>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</si>
  <si>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</si>
  <si>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</si>
  <si>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</si>
  <si>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</si>
  <si>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</si>
  <si>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</si>
  <si>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</si>
  <si>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</si>
  <si>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</si>
  <si>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</si>
  <si>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</si>
  <si>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</si>
  <si>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</si>
  <si>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</si>
  <si>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</si>
  <si>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</si>
  <si>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</si>
  <si>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</si>
  <si>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</si>
  <si>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</si>
  <si>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</si>
  <si>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</si>
  <si>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</si>
  <si>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</si>
  <si>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</si>
  <si>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</si>
  <si>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</si>
  <si>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</si>
  <si>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</si>
  <si>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</si>
  <si>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</si>
  <si>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</si>
  <si>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</si>
  <si>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</si>
  <si>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</si>
  <si>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</si>
  <si>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</si>
  <si>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</si>
  <si>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</si>
  <si>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</si>
  <si>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</si>
  <si>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</si>
  <si>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</si>
  <si>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</si>
  <si>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</si>
  <si>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</si>
  <si>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</si>
  <si>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</si>
  <si>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</si>
  <si>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</si>
  <si>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</si>
  <si>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</si>
  <si>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</si>
  <si>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</si>
  <si>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</si>
  <si>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</si>
  <si>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</si>
  <si>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</si>
  <si>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</si>
  <si>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</si>
  <si>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</si>
  <si>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</si>
  <si>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</si>
  <si>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</si>
  <si>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</si>
  <si>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</si>
  <si>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</si>
  <si>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</si>
  <si>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</si>
  <si>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</si>
  <si>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</si>
  <si>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</si>
  <si>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</si>
  <si>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</si>
  <si>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</si>
  <si>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</si>
  <si>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</si>
  <si>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</si>
  <si>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</si>
  <si>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</si>
  <si>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</si>
  <si>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</si>
  <si>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</si>
  <si>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</si>
  <si>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</si>
  <si>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</si>
  <si>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</si>
  <si>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</si>
  <si>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</si>
  <si>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</si>
  <si>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</si>
  <si>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</si>
  <si>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</si>
  <si>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</si>
  <si>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</si>
  <si>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</si>
  <si>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</si>
  <si>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</si>
  <si>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</si>
  <si>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</si>
  <si>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</si>
  <si>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</si>
  <si>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</si>
  <si>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</si>
  <si>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</si>
  <si>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</si>
  <si>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</si>
  <si>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</si>
  <si>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</si>
  <si>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</si>
  <si>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</si>
  <si>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</si>
  <si>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</si>
  <si>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</si>
  <si>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</si>
  <si>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</si>
  <si>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</si>
  <si>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</si>
  <si>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</si>
  <si>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</si>
  <si>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</si>
  <si>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</si>
  <si>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</si>
  <si>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</si>
  <si>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</si>
  <si>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</si>
  <si>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</si>
  <si>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</si>
  <si>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</si>
  <si>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</si>
  <si>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</si>
  <si>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</si>
  <si>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</si>
  <si>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</si>
  <si>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</si>
  <si>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</si>
  <si>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</si>
  <si>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</si>
  <si>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</si>
  <si>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</si>
  <si>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</si>
  <si>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</si>
  <si>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</si>
  <si>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</si>
  <si>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</si>
  <si>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</si>
  <si>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</si>
  <si>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</si>
  <si>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</si>
  <si>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</si>
  <si>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</si>
  <si>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</si>
  <si>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</si>
  <si>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</si>
  <si>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</si>
  <si>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</si>
  <si>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</si>
  <si>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</si>
  <si>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</si>
  <si>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</si>
  <si>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</si>
  <si>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</si>
  <si>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</si>
  <si>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</si>
  <si>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</si>
  <si>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</si>
  <si>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</si>
  <si>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</si>
  <si>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</si>
  <si>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</si>
  <si>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</si>
  <si>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</si>
  <si>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</si>
  <si>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</si>
  <si>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</si>
  <si>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</si>
  <si>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</si>
  <si>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</si>
  <si>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</si>
  <si>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</si>
  <si>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</si>
  <si>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</si>
  <si>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</si>
  <si>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</si>
  <si>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</si>
  <si>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</si>
  <si>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</si>
  <si>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</si>
  <si>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</si>
  <si>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</si>
  <si>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</si>
  <si>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</si>
  <si>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</si>
  <si>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</si>
  <si>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</si>
  <si>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</si>
  <si>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</si>
  <si>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</si>
  <si>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</si>
  <si>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</si>
  <si>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</si>
  <si>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</si>
  <si>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</si>
  <si>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</si>
  <si>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</si>
  <si>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</si>
  <si>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</si>
  <si>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</si>
  <si>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</si>
  <si>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</si>
  <si>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</si>
  <si>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</si>
  <si>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</si>
  <si>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</si>
  <si>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</si>
  <si>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</si>
  <si>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</si>
  <si>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</si>
  <si>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</si>
  <si>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</si>
  <si>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</si>
  <si>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</si>
  <si>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</si>
  <si>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</si>
  <si>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</si>
  <si>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</si>
  <si>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</si>
  <si>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</si>
  <si>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</si>
  <si>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</si>
  <si>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</si>
  <si>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</si>
  <si>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</si>
  <si>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</si>
  <si>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</si>
  <si>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</si>
  <si>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</si>
  <si>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</si>
  <si>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</si>
  <si>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</si>
  <si>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</si>
  <si>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</si>
  <si>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</si>
  <si>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</si>
  <si>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</si>
  <si>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</si>
  <si>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</si>
  <si>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</si>
  <si>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</si>
  <si>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</si>
  <si>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</si>
  <si>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</si>
  <si>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</si>
  <si>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</si>
  <si>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</si>
  <si>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</si>
  <si>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</si>
  <si>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</si>
  <si>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</si>
  <si>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</si>
  <si>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</si>
  <si>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</si>
  <si>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</si>
  <si>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</si>
  <si>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</si>
  <si>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</si>
  <si>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</si>
  <si>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</si>
  <si>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</si>
  <si>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</si>
  <si>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</si>
  <si>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</si>
  <si>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</si>
  <si>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</si>
  <si>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</si>
  <si>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</si>
  <si>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</si>
  <si>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</si>
  <si>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</si>
  <si>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</si>
  <si>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</si>
  <si>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</si>
  <si>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</si>
  <si>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</si>
  <si>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</si>
  <si>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</si>
  <si>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</si>
  <si>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</si>
  <si>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</si>
  <si>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</si>
  <si>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</si>
  <si>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</si>
  <si>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</si>
  <si>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</si>
  <si>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</si>
  <si>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</si>
  <si>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</si>
  <si>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</si>
  <si>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</si>
  <si>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</si>
  <si>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</si>
  <si>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</si>
  <si>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</si>
  <si>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</si>
  <si>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</si>
  <si>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</si>
  <si>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</si>
  <si>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</si>
  <si>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</si>
  <si>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</si>
  <si>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</si>
  <si>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</si>
  <si>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</si>
  <si>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</si>
  <si>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</si>
  <si>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</si>
  <si>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</si>
  <si>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</si>
  <si>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</si>
  <si>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</si>
  <si>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</si>
  <si>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</si>
  <si>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</si>
  <si>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</si>
  <si>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</si>
  <si>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</si>
  <si>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</si>
  <si>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</si>
  <si>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</si>
  <si>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</si>
  <si>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</si>
  <si>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</si>
  <si>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</si>
  <si>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</si>
  <si>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</si>
  <si>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</si>
  <si>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</si>
  <si>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</si>
  <si>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</si>
  <si>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</si>
  <si>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</si>
  <si>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</si>
  <si>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</si>
  <si>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</si>
  <si>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</si>
  <si>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</si>
  <si>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</si>
  <si>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</si>
  <si>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</si>
  <si>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</si>
  <si>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</si>
  <si>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</si>
  <si>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</si>
  <si>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</si>
  <si>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</si>
  <si>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</si>
  <si>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</si>
  <si>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</si>
  <si>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</si>
  <si>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</si>
  <si>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</si>
  <si>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</si>
  <si>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</si>
  <si>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</si>
  <si>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</si>
  <si>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</si>
  <si>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</si>
  <si>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</si>
  <si>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</si>
  <si>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</si>
  <si>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</si>
  <si>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</si>
  <si>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</si>
  <si>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</si>
  <si>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</si>
  <si>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</si>
  <si>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</si>
  <si>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</si>
  <si>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</si>
  <si>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</si>
  <si>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</si>
  <si>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</si>
  <si>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</si>
  <si>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</si>
  <si>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</si>
  <si>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</si>
  <si>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</si>
  <si>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</si>
  <si>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</si>
  <si>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</si>
  <si>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</si>
  <si>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</si>
  <si>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</si>
  <si>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</si>
  <si>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</si>
  <si>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</si>
  <si>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</si>
  <si>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</si>
  <si>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</si>
  <si>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</si>
  <si>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</si>
  <si>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</si>
  <si>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</si>
  <si>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</si>
  <si>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</si>
  <si>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</si>
  <si>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</si>
  <si>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</si>
  <si>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</si>
  <si>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</si>
  <si>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</si>
  <si>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</si>
  <si>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</si>
  <si>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</si>
  <si>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</si>
  <si>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</si>
  <si>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</si>
  <si>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</si>
  <si>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</si>
  <si>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</si>
  <si>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</si>
  <si>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</si>
  <si>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</si>
  <si>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</si>
  <si>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</si>
  <si>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</si>
  <si>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</si>
  <si>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</si>
  <si>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</si>
  <si>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</si>
  <si>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</si>
  <si>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</si>
  <si>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</si>
  <si>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</si>
  <si>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</si>
  <si>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</si>
  <si>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</si>
  <si>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</si>
  <si>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</si>
  <si>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</si>
  <si>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</si>
  <si>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</si>
  <si>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</si>
  <si>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</si>
  <si>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</si>
  <si>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</si>
  <si>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</si>
  <si>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</si>
  <si>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</si>
  <si>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</si>
  <si>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</si>
  <si>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</si>
  <si>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</si>
  <si>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</si>
  <si>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</si>
  <si>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</si>
  <si>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</si>
  <si>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</si>
  <si>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</si>
  <si>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</si>
  <si>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</si>
  <si>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</si>
  <si>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</si>
  <si>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</si>
  <si>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</si>
  <si>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</si>
  <si>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</si>
  <si>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</si>
  <si>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</si>
  <si>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</si>
  <si>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</si>
  <si>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</si>
  <si>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</si>
  <si>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</si>
  <si>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</si>
  <si>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</si>
  <si>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</si>
  <si>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</si>
  <si>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</si>
  <si>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</si>
  <si>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</si>
  <si>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</si>
  <si>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</si>
  <si>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</si>
  <si>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</si>
  <si>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</si>
  <si>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</si>
  <si>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</si>
  <si>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</si>
  <si>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</si>
  <si>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</si>
  <si>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</si>
  <si>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</si>
  <si>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</si>
  <si>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</si>
  <si>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</si>
  <si>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</si>
  <si>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</si>
  <si>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</si>
  <si>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</si>
  <si>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</si>
  <si>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</si>
  <si>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</si>
  <si>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</si>
  <si>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</si>
  <si>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</si>
  <si>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</si>
  <si>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</si>
  <si>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</si>
  <si>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</si>
  <si>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</si>
  <si>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</si>
  <si>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</si>
  <si>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</si>
  <si>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</si>
  <si>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</si>
  <si>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</si>
  <si>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</si>
  <si>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</si>
  <si>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</si>
  <si>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</si>
  <si>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</si>
  <si>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</si>
  <si>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</si>
  <si>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</si>
  <si>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</si>
  <si>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</si>
  <si>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</si>
  <si>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</si>
  <si>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</si>
  <si>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</si>
  <si>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</si>
  <si>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</si>
  <si>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</si>
  <si>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</si>
  <si>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</si>
  <si>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</si>
  <si>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</si>
  <si>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</si>
  <si>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</si>
  <si>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</si>
  <si>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</si>
  <si>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</si>
  <si>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</si>
  <si>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</si>
  <si>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</si>
  <si>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</si>
  <si>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</si>
  <si>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</si>
  <si>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</si>
  <si>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</si>
  <si>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</si>
  <si>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</si>
  <si>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</si>
  <si>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</si>
  <si>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</si>
  <si>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</si>
  <si>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</si>
  <si>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</si>
  <si>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</si>
  <si>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</si>
  <si>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</si>
  <si>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</si>
  <si>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</si>
  <si>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</si>
  <si>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</si>
  <si>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</si>
  <si>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</si>
  <si>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</si>
  <si>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</si>
  <si>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</si>
  <si>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</si>
  <si>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</si>
  <si>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</si>
  <si>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</si>
  <si>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</si>
  <si>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</si>
  <si>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</si>
  <si>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</si>
  <si>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</si>
  <si>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</si>
  <si>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</si>
  <si>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</si>
  <si>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</si>
  <si>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</si>
  <si>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</si>
  <si>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</si>
  <si>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</si>
  <si>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</si>
  <si>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</si>
  <si>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</si>
  <si>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</si>
  <si>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</si>
  <si>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</si>
  <si>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</si>
  <si>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</si>
  <si>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</si>
  <si>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</si>
  <si>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</si>
  <si>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</si>
  <si>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</si>
  <si>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</si>
  <si>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</si>
  <si>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</si>
  <si>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</si>
  <si>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</si>
  <si>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</si>
  <si>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</si>
  <si>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</si>
  <si>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</si>
  <si>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</si>
  <si>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</si>
  <si>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</si>
  <si>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</si>
  <si>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</si>
  <si>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</si>
  <si>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</si>
  <si>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</si>
  <si>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</si>
  <si>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</si>
  <si>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</si>
  <si>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</si>
  <si>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</si>
  <si>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</si>
  <si>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</si>
  <si>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</si>
  <si>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</si>
  <si>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</si>
  <si>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</si>
  <si>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</si>
  <si>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</si>
  <si>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</si>
  <si>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</si>
  <si>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</si>
  <si>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</si>
  <si>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</si>
  <si>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</si>
  <si>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</si>
  <si>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</si>
  <si>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</si>
  <si>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</si>
  <si>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</si>
  <si>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</si>
  <si>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</si>
  <si>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</si>
  <si>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</si>
  <si>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</si>
  <si>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</si>
  <si>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</si>
  <si>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</si>
  <si>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</si>
  <si>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</si>
  <si>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</si>
  <si>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</si>
  <si>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</si>
  <si>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</si>
  <si>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</si>
  <si>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</si>
  <si>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</si>
  <si>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</si>
  <si>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</si>
  <si>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</si>
  <si>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</si>
  <si>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</si>
  <si>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</si>
  <si>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</si>
  <si>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</si>
  <si>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</si>
  <si>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</si>
  <si>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</si>
  <si>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</si>
  <si>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</si>
  <si>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</si>
  <si>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</si>
  <si>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</si>
  <si>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</si>
  <si>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</si>
  <si>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</si>
  <si>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</si>
  <si>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</si>
  <si>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</si>
  <si>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</si>
  <si>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</si>
  <si>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</si>
  <si>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</si>
  <si>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</si>
  <si>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</si>
  <si>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</si>
  <si>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</si>
  <si>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</si>
  <si>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</si>
  <si>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</si>
  <si>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</si>
  <si>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</si>
  <si>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</si>
  <si>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</si>
  <si>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</si>
  <si>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</si>
  <si>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</si>
  <si>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</si>
  <si>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</si>
  <si>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</si>
  <si>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</si>
  <si>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</si>
  <si>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</si>
  <si>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</si>
  <si>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</si>
  <si>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</si>
  <si>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</si>
  <si>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</si>
  <si>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</si>
  <si>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</si>
  <si>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</si>
  <si>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</si>
  <si>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</si>
  <si>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</si>
  <si>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</si>
  <si>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</si>
  <si>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</si>
  <si>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</si>
  <si>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</si>
  <si>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</si>
  <si>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</si>
  <si>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</si>
  <si>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</si>
  <si>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</si>
  <si>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</si>
  <si>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</si>
  <si>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</si>
  <si>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</si>
  <si>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</si>
  <si>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</si>
  <si>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</si>
  <si>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</si>
  <si>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</si>
  <si>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</si>
  <si>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</si>
  <si>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</si>
  <si>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</si>
  <si>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</si>
  <si>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</si>
  <si>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</si>
  <si>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</si>
  <si>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</si>
  <si>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</si>
  <si>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</si>
  <si>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</si>
  <si>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</si>
  <si>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</si>
  <si>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</si>
  <si>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</si>
  <si>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</si>
  <si>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</si>
  <si>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</si>
  <si>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</si>
  <si>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</si>
  <si>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</si>
  <si>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</si>
  <si>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</si>
  <si>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</si>
  <si>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</si>
  <si>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</si>
  <si>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</si>
  <si>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</si>
  <si>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</si>
  <si>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</si>
  <si>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</si>
  <si>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</si>
  <si>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</si>
  <si>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</si>
  <si>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</si>
  <si>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</si>
  <si>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</si>
  <si>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</si>
  <si>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</si>
  <si>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</si>
  <si>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</si>
  <si>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</si>
  <si>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</si>
  <si>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</si>
  <si>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</si>
  <si>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</si>
  <si>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</si>
  <si>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</si>
  <si>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</si>
  <si>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</si>
  <si>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</si>
  <si>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</si>
  <si>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</si>
  <si>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</si>
  <si>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</si>
  <si>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</si>
  <si>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</si>
  <si>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</si>
  <si>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</si>
  <si>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</si>
  <si>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</si>
  <si>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</si>
  <si>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</si>
  <si>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</si>
  <si>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</si>
  <si>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</si>
  <si>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</si>
  <si>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</si>
  <si>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</si>
  <si>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</si>
  <si>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</si>
  <si>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</si>
  <si>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</si>
  <si>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</si>
  <si>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</si>
  <si>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</si>
  <si>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</si>
  <si>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</si>
  <si>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</si>
  <si>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</si>
  <si>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</si>
  <si>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</si>
  <si>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</si>
  <si>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</si>
  <si>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</si>
  <si>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</si>
  <si>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</si>
  <si>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</si>
  <si>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</si>
  <si>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</si>
  <si>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</si>
  <si>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</si>
  <si>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</si>
  <si>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</si>
  <si>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</si>
  <si>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</si>
  <si>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</si>
  <si>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</si>
  <si>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</si>
  <si>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</si>
  <si>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</si>
  <si>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</si>
  <si>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</si>
  <si>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</si>
  <si>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</si>
  <si>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</si>
  <si>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</si>
  <si>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</si>
  <si>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</si>
  <si>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</si>
  <si>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</si>
  <si>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</si>
  <si>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</si>
  <si>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</si>
  <si>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</si>
  <si>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</si>
  <si>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</si>
  <si>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</si>
  <si>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</si>
  <si>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</si>
  <si>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</si>
  <si>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</si>
  <si>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</si>
  <si>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</si>
  <si>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</si>
  <si>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</si>
  <si>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</si>
  <si>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</si>
  <si>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</si>
  <si>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</si>
  <si>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</si>
  <si>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</si>
  <si>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</si>
  <si>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</si>
  <si>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</si>
  <si>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</si>
  <si>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</si>
  <si>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</si>
  <si>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</si>
  <si>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</si>
  <si>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</si>
  <si>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</si>
  <si>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</si>
  <si>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</si>
  <si>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</si>
  <si>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</si>
  <si>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</si>
  <si>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</si>
  <si>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</si>
  <si>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</si>
  <si>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</si>
  <si>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</si>
  <si>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</si>
  <si>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</si>
  <si>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</si>
  <si>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</si>
  <si>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</si>
  <si>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</si>
  <si>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</si>
  <si>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</si>
  <si>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</si>
  <si>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</si>
  <si>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</si>
  <si>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</si>
  <si>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</si>
  <si>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</si>
  <si>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</si>
  <si>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</si>
  <si>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</si>
  <si>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</si>
  <si>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</si>
  <si>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</si>
  <si>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</si>
  <si>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</si>
  <si>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</si>
  <si>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</si>
  <si>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</si>
  <si>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</si>
  <si>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</si>
  <si>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</si>
  <si>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</si>
  <si>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</si>
  <si>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</si>
  <si>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</si>
  <si>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</si>
  <si>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</si>
  <si>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</si>
  <si>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</si>
  <si>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</si>
  <si>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</si>
  <si>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</si>
  <si>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</si>
  <si>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</si>
  <si>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</si>
  <si>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</si>
  <si>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</si>
  <si>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</si>
  <si>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</si>
  <si>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</si>
  <si>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</si>
  <si>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</si>
  <si>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</si>
  <si>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</si>
  <si>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</si>
  <si>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</si>
  <si>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</si>
  <si>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</si>
  <si>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</si>
  <si>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</si>
  <si>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</si>
  <si>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</si>
  <si>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</si>
  <si>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</si>
  <si>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</si>
  <si>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</si>
  <si>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</si>
  <si>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</si>
  <si>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</si>
  <si>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</si>
  <si>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</si>
  <si>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</si>
  <si>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</si>
  <si>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</si>
  <si>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</si>
  <si>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</si>
  <si>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</si>
  <si>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</si>
  <si>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</si>
  <si>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</si>
  <si>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</si>
  <si>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</si>
  <si>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</si>
  <si>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</si>
  <si>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</si>
  <si>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</si>
  <si>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</si>
  <si>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</si>
  <si>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</si>
  <si>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</si>
  <si>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</si>
  <si>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</si>
  <si>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</si>
  <si>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</si>
  <si>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</si>
  <si>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</si>
  <si>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</si>
  <si>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</si>
  <si>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</si>
  <si>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</si>
  <si>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</si>
  <si>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</si>
  <si>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</si>
  <si>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</si>
  <si>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</si>
  <si>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</si>
  <si>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</si>
  <si>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</si>
  <si>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</si>
  <si>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</si>
  <si>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</si>
  <si>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</si>
  <si>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</si>
  <si>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</si>
  <si>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</si>
  <si>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</si>
  <si>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</si>
  <si>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</si>
  <si>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</si>
  <si>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</si>
  <si>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</si>
  <si>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</si>
  <si>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</si>
  <si>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</si>
  <si>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</si>
  <si>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</si>
  <si>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</si>
  <si>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</si>
  <si>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</si>
  <si>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</si>
  <si>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</si>
  <si>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</si>
  <si>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</si>
  <si>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</si>
  <si>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</si>
  <si>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</si>
  <si>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</si>
  <si>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</si>
  <si>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</si>
  <si>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</si>
  <si>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</si>
  <si>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</si>
  <si>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</si>
  <si>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</si>
  <si>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</si>
  <si>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</si>
  <si>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</si>
  <si>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</si>
  <si>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</si>
  <si>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</si>
  <si>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</si>
  <si>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</si>
  <si>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</si>
  <si>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</si>
  <si>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</si>
  <si>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</si>
  <si>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</si>
  <si>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</si>
  <si>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</si>
  <si>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</si>
  <si>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</si>
  <si>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</si>
  <si>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</si>
  <si>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</si>
  <si>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</si>
  <si>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</si>
  <si>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</si>
  <si>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</si>
  <si>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</si>
  <si>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</si>
  <si>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</si>
  <si>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</si>
  <si>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</si>
  <si>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</si>
  <si>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</si>
  <si>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</si>
  <si>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</si>
  <si>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</si>
  <si>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</si>
  <si>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</si>
  <si>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</si>
  <si>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</si>
  <si>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</si>
  <si>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</si>
  <si>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</si>
  <si>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</si>
  <si>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</si>
  <si>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</si>
  <si>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</si>
  <si>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</si>
  <si>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</si>
  <si>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</si>
  <si>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</si>
  <si>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</si>
  <si>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</si>
  <si>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</si>
  <si>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</si>
  <si>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</si>
  <si>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</si>
  <si>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</si>
  <si>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</si>
  <si>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</si>
  <si>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</si>
  <si>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</si>
  <si>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</si>
  <si>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</si>
  <si>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</si>
  <si>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</si>
  <si>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</si>
  <si>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</si>
  <si>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</si>
  <si>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</si>
  <si>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</si>
  <si>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</si>
  <si>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</si>
  <si>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</si>
  <si>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</si>
  <si>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</si>
  <si>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</si>
  <si>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</si>
  <si>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</si>
  <si>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</si>
  <si>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</si>
  <si>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</si>
  <si>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</si>
  <si>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</si>
  <si>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</si>
  <si>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</si>
  <si>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</si>
  <si>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</si>
  <si>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</si>
  <si>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</si>
  <si>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</si>
  <si>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</si>
  <si>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</si>
  <si>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</si>
  <si>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</si>
  <si>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</si>
  <si>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</si>
  <si>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</si>
  <si>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</si>
  <si>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</si>
  <si>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</si>
  <si>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</si>
  <si>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</si>
  <si>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</si>
  <si>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</si>
  <si>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</si>
  <si>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</si>
  <si>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</si>
  <si>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</si>
  <si>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</si>
  <si>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</si>
  <si>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</si>
  <si>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</si>
  <si>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</si>
  <si>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</si>
  <si>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</si>
  <si>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</si>
  <si>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</si>
  <si>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</si>
  <si>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</si>
  <si>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</si>
  <si>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</si>
  <si>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</si>
  <si>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</si>
  <si>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</si>
  <si>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</si>
  <si>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</si>
  <si>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</si>
  <si>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</si>
  <si>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</si>
  <si>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</si>
  <si>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</si>
  <si>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</si>
  <si>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</si>
  <si>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</si>
  <si>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</si>
  <si>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</si>
  <si>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</si>
  <si>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</si>
  <si>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</si>
  <si>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</si>
  <si>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</si>
  <si>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</si>
  <si>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</si>
  <si>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</si>
  <si>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</si>
  <si>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</si>
  <si>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</si>
  <si>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</si>
  <si>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</si>
  <si>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</si>
  <si>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</si>
  <si>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</si>
  <si>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</si>
  <si>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</si>
  <si>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</si>
  <si>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</si>
  <si>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</si>
  <si>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</si>
  <si>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</si>
  <si>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</si>
  <si>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</si>
  <si>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</si>
  <si>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</si>
  <si>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</si>
  <si>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</si>
  <si>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</si>
  <si>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</si>
  <si>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</si>
  <si>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</si>
  <si>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</si>
  <si>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</si>
  <si>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</si>
  <si>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</si>
  <si>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</si>
  <si>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</si>
  <si>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</si>
  <si>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</si>
  <si>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</si>
  <si>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</si>
  <si>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</si>
  <si>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</si>
  <si>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</si>
  <si>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</si>
  <si>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</si>
  <si>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</si>
  <si>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</si>
  <si>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</si>
  <si>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</si>
  <si>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</si>
  <si>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</si>
  <si>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</si>
  <si>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</si>
  <si>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</si>
  <si>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</si>
  <si>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</si>
  <si>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</si>
  <si>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</si>
  <si>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</si>
  <si>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</si>
  <si>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</si>
  <si>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</si>
  <si>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</si>
  <si>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</si>
  <si>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</si>
  <si>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</si>
  <si>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</si>
  <si>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</si>
  <si>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</si>
  <si>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</si>
  <si>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</si>
  <si>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</si>
  <si>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</si>
  <si>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</si>
  <si>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</si>
  <si>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</si>
  <si>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</si>
  <si>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</si>
  <si>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</si>
  <si>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</si>
  <si>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</si>
  <si>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</si>
  <si>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</si>
  <si>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</si>
  <si>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</si>
  <si>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</si>
  <si>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</si>
  <si>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</si>
  <si>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</si>
  <si>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</si>
  <si>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</si>
  <si>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</si>
  <si>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</si>
  <si>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</si>
  <si>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</si>
  <si>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</si>
  <si>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</si>
  <si>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</si>
  <si>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</si>
  <si>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</si>
  <si>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</si>
  <si>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</si>
  <si>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</si>
  <si>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</si>
  <si>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</si>
  <si>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</si>
  <si>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</si>
  <si>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</si>
  <si>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</si>
  <si>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</si>
  <si>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</si>
  <si>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</si>
  <si>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</si>
  <si>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</si>
  <si>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</si>
  <si>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</si>
  <si>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</si>
  <si>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</si>
  <si>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</si>
  <si>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</si>
  <si>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</si>
  <si>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</si>
  <si>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</si>
  <si>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</si>
  <si>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</si>
  <si>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</si>
  <si>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</si>
  <si>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</si>
  <si>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</si>
  <si>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</si>
  <si>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</si>
  <si>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</si>
  <si>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</si>
  <si>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</si>
  <si>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</si>
  <si>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</si>
  <si>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</si>
  <si>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</si>
  <si>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</si>
  <si>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</si>
  <si>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</si>
  <si>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</si>
  <si>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</si>
  <si>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</si>
  <si>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</si>
  <si>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</si>
  <si>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</si>
  <si>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</si>
  <si>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</si>
  <si>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</si>
  <si>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</si>
  <si>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</si>
  <si>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</si>
  <si>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</si>
  <si>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</si>
  <si>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</si>
  <si>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</si>
  <si>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</si>
  <si>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</si>
  <si>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</si>
  <si>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</si>
  <si>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</si>
  <si>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</si>
  <si>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</si>
  <si>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</si>
  <si>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</si>
  <si>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</si>
  <si>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</si>
  <si>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</si>
  <si>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</si>
  <si>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</si>
  <si>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</si>
  <si>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</si>
  <si>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</si>
  <si>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</si>
  <si>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</si>
  <si>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</si>
  <si>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</si>
  <si>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</si>
  <si>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</si>
  <si>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</si>
  <si>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</si>
  <si>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</si>
  <si>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</si>
  <si>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</si>
  <si>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</si>
  <si>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</si>
  <si>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</si>
  <si>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</si>
  <si>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</si>
  <si>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</si>
  <si>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</si>
  <si>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</si>
  <si>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</si>
  <si>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</si>
  <si>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</si>
  <si>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</si>
  <si>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</si>
  <si>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</si>
  <si>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</si>
  <si>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</si>
  <si>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</si>
  <si>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</si>
  <si>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</si>
  <si>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</si>
  <si>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</si>
  <si>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</si>
  <si>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</si>
  <si>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</si>
  <si>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</si>
  <si>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</si>
  <si>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</si>
  <si>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</si>
  <si>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</si>
  <si>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</si>
  <si>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</si>
  <si>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</si>
  <si>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</si>
  <si>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</si>
  <si>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</si>
  <si>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</si>
  <si>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</si>
  <si>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</si>
  <si>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</si>
  <si>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</si>
  <si>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</si>
  <si>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</si>
  <si>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</si>
  <si>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</si>
  <si>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</si>
  <si>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</si>
  <si>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</si>
  <si>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</si>
  <si>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</si>
  <si>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</si>
  <si>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</si>
  <si>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</si>
  <si>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</si>
  <si>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</si>
  <si>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</si>
  <si>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</si>
  <si>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</si>
  <si>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</si>
  <si>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</si>
  <si>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</si>
  <si>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</si>
  <si>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</si>
  <si>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</si>
  <si>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</si>
  <si>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</si>
  <si>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</si>
  <si>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</si>
  <si>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</si>
  <si>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</si>
  <si>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</si>
  <si>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</si>
  <si>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</si>
  <si>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</si>
  <si>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</si>
  <si>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</si>
  <si>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</si>
  <si>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</si>
  <si>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</si>
  <si>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</si>
  <si>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</si>
  <si>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</si>
  <si>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</si>
  <si>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</si>
  <si>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</si>
  <si>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</si>
  <si>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</si>
  <si>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</si>
  <si>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</si>
  <si>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</si>
  <si>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</si>
  <si>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</si>
  <si>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</si>
  <si>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</si>
  <si>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</si>
  <si>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</si>
  <si>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</si>
  <si>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</si>
  <si>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</si>
  <si>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</si>
  <si>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</si>
  <si>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</si>
  <si>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</si>
  <si>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</si>
  <si>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</si>
  <si>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</si>
  <si>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</si>
  <si>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</si>
  <si>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</si>
  <si>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</si>
  <si>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</si>
  <si>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</si>
  <si>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</si>
  <si>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</si>
  <si>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</si>
  <si>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</si>
  <si>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</si>
  <si>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</si>
  <si>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</si>
  <si>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</si>
  <si>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</si>
  <si>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</si>
  <si>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</si>
  <si>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</si>
  <si>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</si>
  <si>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</si>
  <si>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</si>
  <si>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</si>
  <si>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</si>
  <si>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</si>
  <si>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</si>
  <si>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</si>
  <si>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</si>
  <si>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</si>
  <si>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</si>
  <si>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</si>
  <si>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</si>
  <si>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</si>
  <si>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</si>
  <si>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</si>
  <si>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</si>
  <si>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</si>
  <si>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</si>
  <si>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</si>
  <si>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</si>
  <si>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</si>
  <si>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</si>
  <si>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</si>
  <si>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</si>
  <si>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</si>
  <si>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</si>
  <si>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</si>
  <si>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</si>
  <si>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</si>
  <si>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</si>
  <si>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</si>
  <si>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</si>
  <si>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</si>
  <si>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</si>
  <si>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</si>
  <si>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</si>
  <si>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</si>
  <si>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</si>
  <si>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</si>
  <si>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</si>
  <si>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</si>
  <si>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</si>
  <si>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</si>
  <si>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</si>
  <si>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</si>
  <si>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</si>
  <si>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</si>
  <si>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</si>
  <si>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</si>
  <si>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</si>
  <si>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</si>
  <si>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</si>
  <si>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</si>
  <si>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</si>
  <si>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</si>
  <si>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</si>
  <si>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</si>
  <si>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</si>
  <si>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</si>
  <si>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</si>
  <si>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</si>
  <si>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</si>
  <si>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</si>
  <si>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</si>
  <si>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</si>
  <si>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</si>
  <si>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</si>
  <si>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</si>
  <si>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</si>
  <si>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</si>
  <si>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</si>
  <si>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</si>
  <si>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</si>
  <si>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</si>
  <si>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</si>
  <si>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</si>
  <si>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</si>
  <si>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</si>
  <si>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</si>
  <si>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</si>
  <si>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</si>
  <si>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</si>
  <si>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</si>
  <si>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</si>
  <si>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</si>
  <si>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</si>
  <si>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</si>
  <si>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</si>
  <si>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</si>
  <si>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</si>
  <si>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</si>
  <si>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</si>
  <si>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</si>
  <si>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</si>
  <si>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</si>
  <si>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</si>
  <si>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</si>
  <si>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</si>
  <si>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</si>
  <si>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</si>
  <si>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</si>
  <si>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</si>
  <si>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</si>
  <si>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</si>
  <si>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</si>
  <si>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</si>
  <si>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</si>
  <si>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</si>
  <si>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</si>
  <si>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</si>
  <si>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</si>
  <si>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</si>
  <si>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</si>
  <si>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</si>
  <si>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</si>
  <si>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</si>
  <si>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</si>
  <si>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</si>
  <si>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</si>
  <si>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</si>
  <si>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</si>
  <si>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</si>
  <si>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</si>
  <si>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</si>
  <si>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</si>
  <si>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</si>
  <si>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</si>
  <si>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</si>
  <si>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</si>
  <si>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</si>
  <si>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</si>
  <si>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</si>
  <si>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</si>
  <si>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</si>
  <si>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</si>
  <si>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</si>
  <si>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</si>
  <si>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</si>
  <si>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</si>
  <si>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</si>
  <si>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</si>
  <si>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</si>
  <si>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</si>
  <si>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</si>
  <si>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</si>
  <si>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</si>
  <si>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</si>
  <si>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</si>
  <si>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</si>
  <si>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</si>
  <si>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</si>
  <si>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</si>
  <si>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</si>
  <si>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</si>
  <si>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</si>
  <si>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</si>
  <si>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</si>
  <si>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</si>
  <si>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</si>
  <si>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</si>
  <si>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</si>
  <si>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</si>
  <si>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</si>
  <si>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</si>
  <si>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</si>
  <si>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</si>
  <si>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</si>
  <si>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</si>
  <si>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</si>
  <si>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</si>
  <si>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</si>
  <si>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</si>
  <si>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</si>
  <si>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</si>
  <si>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</si>
  <si>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</si>
  <si>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</si>
  <si>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</si>
  <si>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</si>
  <si>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</si>
  <si>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</si>
  <si>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</si>
  <si>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</si>
  <si>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</si>
  <si>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</si>
  <si>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</si>
  <si>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</si>
  <si>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</si>
  <si>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</si>
  <si>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</si>
  <si>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</si>
  <si>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</si>
  <si>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</si>
  <si>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</si>
  <si>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</si>
  <si>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</si>
  <si>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</si>
  <si>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</si>
  <si>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</si>
  <si>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</si>
  <si>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</si>
  <si>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</si>
  <si>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</si>
  <si>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</si>
  <si>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</si>
  <si>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</si>
  <si>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</si>
  <si>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</si>
  <si>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</si>
  <si>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</si>
  <si>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</si>
  <si>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</si>
  <si>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</si>
  <si>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</si>
  <si>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</si>
  <si>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</si>
  <si>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</si>
  <si>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</si>
  <si>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</si>
  <si>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</si>
  <si>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</si>
  <si>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</si>
  <si>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</si>
  <si>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</si>
  <si>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</si>
  <si>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</si>
  <si>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</si>
  <si>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</si>
  <si>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</si>
  <si>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</si>
  <si>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</si>
  <si>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</si>
  <si>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</si>
  <si>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</si>
  <si>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</si>
  <si>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</si>
  <si>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</si>
  <si>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</si>
  <si>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</si>
  <si>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</si>
  <si>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</si>
  <si>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</si>
  <si>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</si>
  <si>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</si>
  <si>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</si>
  <si>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</si>
  <si>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</si>
  <si>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</si>
  <si>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</si>
  <si>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</si>
  <si>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</si>
  <si>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</si>
  <si>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</si>
  <si>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</si>
  <si>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</si>
  <si>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</si>
  <si>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</si>
  <si>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</si>
  <si>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</si>
  <si>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</si>
  <si>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</si>
  <si>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</si>
  <si>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</si>
  <si>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</si>
  <si>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</si>
  <si>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</si>
  <si>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</si>
  <si>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</si>
  <si>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</si>
  <si>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</si>
  <si>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</si>
  <si>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</si>
  <si>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</si>
  <si>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</si>
  <si>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</si>
  <si>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</si>
  <si>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</si>
  <si>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</si>
  <si>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</si>
  <si>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</si>
  <si>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</si>
  <si>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</si>
  <si>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</si>
  <si>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</si>
  <si>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</si>
  <si>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</si>
  <si>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</si>
  <si>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</si>
  <si>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</si>
  <si>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</si>
  <si>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</si>
  <si>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</si>
  <si>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</si>
  <si>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</si>
  <si>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</si>
  <si>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</si>
  <si>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</si>
  <si>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</si>
  <si>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</si>
  <si>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</si>
  <si>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</si>
  <si>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</si>
  <si>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</si>
  <si>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</si>
  <si>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</si>
  <si>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</si>
  <si>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</si>
  <si>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</si>
  <si>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</si>
  <si>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</si>
  <si>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</si>
  <si>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</si>
  <si>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</si>
  <si>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</si>
  <si>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</si>
  <si>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</si>
  <si>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</si>
  <si>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</si>
  <si>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</si>
  <si>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</si>
  <si>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</si>
  <si>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</si>
  <si>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</si>
  <si>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</si>
  <si>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</si>
  <si>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</si>
  <si>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</si>
  <si>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</si>
  <si>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</si>
  <si>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</si>
  <si>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</si>
  <si>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</si>
  <si>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</si>
  <si>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</si>
  <si>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</si>
  <si>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</si>
  <si>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</si>
  <si>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</si>
  <si>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</si>
  <si>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</si>
  <si>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</si>
  <si>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</si>
  <si>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</si>
  <si>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</si>
  <si>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</si>
  <si>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</si>
  <si>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</si>
  <si>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</si>
  <si>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</si>
  <si>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</si>
  <si>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</si>
  <si>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</si>
  <si>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</si>
  <si>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</si>
  <si>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</si>
  <si>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</si>
  <si>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</si>
  <si>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</si>
  <si>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</si>
  <si>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</si>
  <si>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</si>
  <si>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</si>
  <si>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</si>
  <si>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</si>
  <si>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</si>
  <si>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</si>
  <si>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</si>
  <si>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</si>
  <si>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</si>
  <si>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</si>
  <si>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</si>
  <si>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</si>
  <si>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</si>
  <si>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</si>
  <si>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</si>
  <si>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</si>
  <si>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</si>
  <si>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</si>
  <si>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</si>
  <si>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</si>
  <si>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</si>
  <si>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</si>
  <si>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</si>
  <si>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</si>
  <si>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</si>
  <si>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</si>
  <si>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</si>
  <si>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</si>
  <si>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</si>
  <si>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</si>
  <si>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</si>
  <si>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</si>
  <si>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</si>
  <si>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</si>
  <si>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</si>
  <si>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</si>
  <si>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</si>
  <si>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</si>
  <si>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</si>
  <si>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</si>
  <si>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</si>
  <si>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</si>
  <si>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</si>
  <si>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</si>
  <si>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</si>
  <si>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</si>
  <si>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</si>
  <si>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</si>
  <si>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</si>
  <si>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</si>
  <si>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</si>
  <si>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</si>
  <si>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</si>
  <si>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</si>
  <si>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</si>
  <si>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</si>
  <si>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</si>
  <si>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</si>
  <si>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</si>
  <si>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</si>
  <si>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</si>
  <si>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</si>
  <si>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</si>
  <si>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</si>
  <si>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</si>
  <si>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</si>
  <si>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</si>
  <si>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</si>
  <si>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</si>
  <si>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</si>
  <si>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</si>
  <si>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</si>
  <si>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</si>
  <si>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</si>
  <si>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</si>
  <si>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</si>
  <si>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</si>
  <si>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</si>
  <si>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</si>
  <si>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</si>
  <si>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</si>
  <si>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</si>
  <si>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</si>
  <si>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</si>
  <si>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</si>
  <si>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</si>
  <si>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</si>
  <si>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</si>
  <si>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</si>
  <si>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</si>
  <si>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</si>
  <si>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</si>
  <si>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</si>
  <si>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</si>
  <si>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</si>
  <si>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</si>
  <si>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</si>
  <si>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</si>
  <si>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</si>
  <si>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</si>
  <si>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</si>
  <si>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</si>
  <si>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</si>
  <si>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</si>
  <si>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</si>
  <si>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</si>
  <si>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</si>
  <si>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</si>
  <si>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</si>
  <si>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</si>
  <si>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</si>
  <si>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</si>
  <si>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</si>
  <si>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</si>
  <si>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</si>
  <si>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</si>
  <si>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</si>
  <si>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</si>
  <si>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</si>
  <si>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</si>
  <si>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</si>
  <si>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</si>
  <si>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</si>
  <si>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</si>
  <si>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</si>
  <si>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</si>
  <si>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</si>
  <si>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</si>
  <si>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</si>
  <si>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</si>
  <si>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</si>
  <si>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</si>
  <si>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</si>
  <si>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</si>
  <si>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</si>
  <si>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</si>
  <si>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</si>
  <si>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</si>
  <si>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</si>
  <si>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</si>
  <si>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</si>
  <si>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</si>
  <si>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</si>
  <si>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</si>
  <si>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</si>
  <si>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</si>
  <si>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</si>
  <si>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</si>
  <si>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</si>
  <si>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</si>
  <si>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</si>
  <si>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</si>
  <si>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</si>
  <si>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</si>
  <si>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</si>
  <si>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</si>
  <si>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</si>
  <si>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</si>
  <si>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</si>
  <si>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</si>
  <si>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</si>
  <si>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</si>
  <si>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</si>
  <si>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</si>
  <si>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</si>
  <si>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</si>
  <si>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</si>
  <si>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</si>
  <si>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</si>
  <si>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</si>
  <si>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</si>
  <si>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</si>
  <si>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</si>
  <si>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</si>
  <si>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</si>
  <si>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</si>
  <si>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</si>
  <si>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</si>
  <si>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</si>
  <si>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</si>
  <si>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</si>
  <si>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</si>
  <si>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</si>
  <si>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</si>
  <si>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</si>
  <si>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</si>
  <si>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</si>
  <si>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</si>
  <si>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</si>
  <si>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</si>
  <si>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</si>
  <si>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</si>
  <si>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</si>
  <si>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</si>
  <si>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</si>
  <si>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</si>
  <si>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</si>
  <si>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</si>
  <si>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</si>
  <si>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</si>
  <si>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</si>
  <si>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</si>
  <si>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</si>
  <si>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</si>
  <si>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</si>
  <si>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</si>
  <si>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</si>
  <si>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</si>
  <si>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</si>
  <si>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</si>
  <si>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</si>
  <si>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</si>
  <si>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</si>
  <si>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</si>
  <si>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</si>
  <si>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</si>
  <si>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</si>
  <si>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</si>
  <si>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</si>
  <si>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</si>
  <si>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</si>
  <si>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</si>
  <si>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</si>
  <si>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</si>
  <si>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</si>
  <si>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</si>
  <si>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</si>
  <si>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</si>
  <si>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</si>
  <si>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</si>
  <si>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</si>
  <si>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</si>
  <si>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</si>
  <si>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</si>
  <si>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</si>
  <si>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</si>
  <si>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</si>
  <si>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</si>
  <si>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</si>
  <si>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</si>
  <si>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</si>
  <si>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</si>
  <si>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</si>
  <si>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</si>
  <si>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</si>
  <si>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</si>
  <si>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</si>
  <si>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</si>
  <si>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</si>
  <si>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</si>
  <si>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</si>
  <si>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</si>
  <si>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</si>
  <si>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</si>
  <si>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</si>
  <si>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</si>
  <si>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</si>
  <si>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</si>
  <si>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</si>
  <si>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</si>
  <si>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</si>
  <si>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</si>
  <si>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</si>
  <si>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</si>
  <si>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</si>
  <si>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</si>
  <si>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</si>
  <si>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</si>
  <si>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</si>
  <si>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</si>
  <si>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</si>
  <si>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</si>
  <si>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</si>
  <si>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</si>
  <si>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</si>
  <si>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</si>
  <si>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</si>
  <si>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</si>
  <si>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</si>
  <si>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</si>
  <si>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</si>
  <si>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</si>
  <si>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</si>
  <si>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</si>
  <si>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</si>
  <si>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</si>
  <si>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</si>
  <si>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</si>
  <si>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</si>
  <si>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</si>
  <si>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</si>
  <si>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</si>
  <si>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</si>
  <si>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</si>
  <si>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</si>
  <si>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</si>
  <si>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</si>
  <si>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</si>
  <si>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</si>
  <si>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</si>
  <si>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</si>
  <si>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</si>
  <si>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</si>
  <si>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</si>
  <si>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</si>
  <si>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</si>
  <si>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</si>
  <si>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</si>
  <si>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</si>
  <si>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</si>
  <si>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</si>
  <si>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</si>
  <si>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</si>
  <si>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</si>
  <si>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</si>
  <si>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</si>
  <si>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</si>
  <si>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</si>
  <si>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</si>
  <si>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</si>
  <si>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</si>
  <si>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</si>
  <si>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</si>
  <si>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</si>
  <si>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</si>
  <si>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</si>
  <si>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</si>
  <si>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</si>
  <si>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</si>
  <si>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</si>
  <si>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</si>
  <si>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</si>
  <si>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</si>
  <si>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</si>
  <si>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</si>
  <si>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</si>
  <si>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</si>
  <si>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</si>
  <si>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</si>
  <si>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</si>
  <si>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</si>
  <si>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</si>
  <si>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</si>
  <si>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</si>
  <si>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</si>
  <si>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</si>
  <si>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</si>
  <si>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</si>
  <si>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</si>
  <si>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</si>
  <si>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</si>
  <si>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</si>
  <si>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</si>
  <si>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</si>
  <si>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</si>
  <si>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</si>
  <si>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</si>
  <si>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</si>
  <si>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</si>
  <si>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</si>
  <si>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</si>
  <si>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</si>
  <si>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</si>
  <si>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</si>
  <si>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</si>
  <si>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</si>
  <si>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</si>
  <si>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</si>
  <si>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</si>
  <si>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</si>
  <si>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</si>
  <si>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</si>
  <si>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</si>
  <si>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</si>
  <si>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</si>
  <si>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</si>
  <si>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</si>
  <si>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</si>
  <si>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</si>
  <si>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</si>
  <si>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</si>
  <si>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</si>
  <si>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</si>
  <si>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</si>
  <si>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</si>
  <si>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</si>
  <si>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</si>
  <si>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</si>
  <si>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</si>
  <si>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</si>
  <si>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</si>
  <si>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</si>
  <si>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</si>
  <si>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</si>
  <si>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</si>
  <si>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</si>
  <si>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</si>
  <si>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</si>
  <si>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</si>
  <si>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</si>
  <si>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</si>
  <si>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</si>
  <si>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</si>
  <si>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</si>
  <si>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</si>
  <si>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</si>
  <si>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</si>
  <si>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</si>
  <si>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</si>
  <si>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</si>
  <si>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</si>
  <si>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</si>
  <si>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</si>
  <si>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</si>
  <si>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</si>
  <si>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</si>
  <si>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</si>
  <si>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</si>
  <si>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</si>
  <si>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</si>
  <si>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</si>
  <si>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</si>
  <si>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</si>
  <si>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</si>
  <si>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</si>
  <si>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</si>
  <si>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</si>
  <si>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</si>
  <si>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</si>
  <si>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</si>
  <si>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</si>
  <si>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</si>
  <si>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</si>
  <si>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</si>
  <si>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</si>
  <si>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</si>
  <si>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</si>
  <si>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</si>
  <si>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</si>
  <si>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</si>
  <si>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</si>
  <si>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</si>
  <si>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</si>
  <si>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</si>
  <si>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</si>
  <si>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</si>
  <si>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</si>
  <si>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</si>
  <si>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</si>
  <si>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</si>
  <si>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</si>
  <si>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</si>
  <si>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</si>
  <si>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</si>
  <si>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</si>
  <si>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</si>
  <si>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</si>
  <si>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</si>
  <si>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</si>
  <si>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</si>
  <si>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</si>
  <si>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</si>
  <si>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</si>
  <si>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</si>
  <si>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</si>
  <si>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</si>
  <si>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</si>
  <si>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</si>
  <si>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</si>
  <si>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</si>
  <si>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</si>
  <si>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</si>
  <si>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</si>
  <si>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</si>
  <si>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</si>
  <si>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</si>
  <si>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</si>
  <si>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</si>
  <si>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</si>
  <si>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</si>
  <si>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</si>
  <si>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</si>
  <si>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</si>
  <si>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</si>
  <si>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</si>
  <si>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</si>
  <si>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</si>
  <si>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</si>
  <si>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</si>
  <si>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</si>
  <si>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</si>
  <si>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</si>
  <si>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</si>
  <si>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</si>
  <si>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</si>
  <si>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</si>
  <si>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</si>
  <si>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</si>
  <si>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</si>
  <si>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</si>
  <si>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</si>
  <si>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</si>
  <si>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</si>
  <si>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</si>
  <si>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</si>
  <si>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</si>
  <si>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</si>
  <si>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</si>
  <si>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</si>
  <si>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</si>
  <si>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</si>
  <si>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</si>
  <si>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</si>
  <si>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</si>
  <si>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</si>
  <si>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</si>
  <si>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</si>
  <si>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</si>
  <si>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</si>
  <si>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</si>
  <si>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</si>
  <si>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</si>
  <si>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</si>
  <si>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</si>
  <si>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</si>
  <si>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</si>
  <si>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</si>
  <si>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</si>
  <si>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</si>
  <si>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</si>
  <si>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</si>
  <si>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</si>
  <si>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</si>
  <si>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</si>
  <si>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</si>
  <si>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</si>
  <si>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</si>
  <si>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</si>
  <si>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</si>
  <si>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</si>
  <si>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</si>
  <si>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</si>
  <si>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</si>
  <si>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</si>
  <si>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</si>
  <si>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</si>
  <si>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</si>
  <si>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</si>
  <si>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</si>
  <si>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</si>
  <si>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</si>
  <si>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</si>
  <si>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</si>
  <si>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</si>
  <si>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</si>
  <si>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</si>
  <si>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</si>
  <si>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</si>
  <si>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</si>
  <si>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</si>
  <si>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</si>
  <si>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</si>
  <si>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</si>
  <si>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</si>
  <si>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</si>
  <si>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</si>
  <si>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</si>
  <si>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</si>
  <si>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</si>
  <si>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</si>
  <si>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</si>
  <si>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</si>
  <si>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</si>
  <si>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</si>
  <si>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</si>
  <si>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</si>
  <si>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</si>
  <si>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</si>
  <si>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</si>
  <si>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</si>
  <si>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</si>
  <si>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</si>
  <si>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</si>
  <si>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</si>
  <si>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</si>
  <si>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</si>
  <si>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</si>
  <si>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</si>
  <si>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</si>
  <si>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</si>
  <si>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</si>
  <si>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</si>
  <si>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</si>
  <si>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</si>
  <si>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</si>
  <si>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</si>
  <si>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</si>
  <si>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</si>
  <si>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</si>
  <si>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</si>
  <si>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</si>
  <si>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</si>
  <si>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</si>
  <si>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</si>
  <si>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</si>
  <si>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</si>
  <si>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</si>
  <si>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</si>
  <si>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</si>
  <si>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</si>
  <si>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</si>
  <si>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</si>
  <si>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</si>
  <si>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</si>
  <si>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</si>
  <si>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</si>
  <si>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</si>
  <si>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</si>
  <si>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</si>
  <si>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</si>
  <si>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</si>
  <si>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</si>
  <si>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</si>
  <si>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</si>
  <si>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</si>
  <si>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</si>
  <si>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</si>
  <si>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</si>
  <si>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</si>
  <si>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</si>
  <si>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</si>
  <si>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</si>
  <si>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</si>
  <si>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</si>
  <si>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</si>
  <si>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</si>
  <si>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</si>
  <si>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</si>
  <si>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</si>
  <si>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</si>
  <si>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</si>
  <si>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</si>
  <si>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</si>
  <si>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</si>
  <si>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</si>
  <si>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</si>
  <si>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</si>
  <si>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</si>
  <si>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</si>
  <si>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</si>
  <si>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</si>
  <si>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</si>
  <si>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</si>
  <si>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</si>
  <si>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</si>
  <si>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</si>
  <si>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</si>
  <si>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</si>
  <si>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</si>
  <si>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</si>
  <si>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</si>
  <si>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</si>
  <si>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</si>
  <si>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</si>
  <si>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</si>
  <si>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</si>
  <si>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</si>
  <si>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</si>
  <si>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</si>
  <si>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</si>
  <si>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</si>
  <si>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</si>
  <si>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</si>
  <si>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</si>
  <si>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</si>
  <si>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</si>
  <si>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</si>
  <si>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</si>
  <si>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</si>
  <si>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</si>
  <si>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</si>
  <si>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</si>
  <si>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</si>
  <si>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</si>
  <si>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</si>
  <si>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</si>
  <si>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</si>
  <si>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</si>
  <si>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</si>
  <si>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</si>
  <si>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</si>
  <si>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</si>
  <si>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</si>
  <si>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</si>
  <si>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</si>
  <si>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</si>
  <si>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</si>
  <si>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</si>
  <si>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</si>
  <si>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</si>
  <si>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</si>
  <si>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</si>
  <si>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</si>
  <si>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</si>
  <si>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</si>
  <si>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</si>
  <si>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</si>
  <si>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</si>
  <si>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</si>
  <si>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</si>
  <si>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</si>
  <si>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</si>
  <si>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</si>
  <si>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</si>
  <si>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</si>
  <si>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</si>
  <si>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</si>
  <si>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</si>
  <si>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</si>
  <si>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</si>
  <si>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</si>
  <si>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</si>
  <si>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</si>
  <si>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</si>
  <si>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</si>
  <si>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</si>
  <si>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</si>
  <si>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</si>
  <si>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</si>
  <si>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</si>
  <si>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</si>
  <si>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</si>
  <si>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</si>
  <si>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</si>
  <si>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</si>
  <si>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</si>
  <si>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</si>
  <si>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</si>
  <si>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</si>
  <si>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</si>
  <si>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</si>
  <si>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</si>
  <si>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</si>
  <si>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</si>
  <si>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</si>
  <si>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</si>
  <si>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</si>
  <si>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</si>
  <si>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</si>
  <si>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</si>
  <si>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</si>
  <si>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</si>
  <si>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</si>
  <si>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</si>
  <si>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</si>
  <si>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</si>
  <si>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</si>
  <si>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</si>
  <si>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</si>
  <si>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</si>
  <si>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</si>
  <si>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</si>
  <si>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</si>
  <si>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</si>
  <si>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</si>
  <si>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</si>
  <si>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</si>
  <si>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</si>
  <si>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</si>
  <si>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</si>
  <si>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</si>
  <si>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</si>
  <si>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</si>
  <si>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</si>
  <si>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</si>
  <si>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</si>
  <si>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</si>
  <si>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</si>
  <si>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</si>
  <si>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</si>
  <si>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</si>
  <si>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</si>
  <si>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</si>
  <si>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</si>
  <si>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</si>
  <si>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</si>
  <si>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</si>
  <si>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</si>
  <si>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</si>
  <si>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</si>
  <si>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</si>
  <si>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</si>
  <si>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</si>
  <si>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</si>
  <si>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</si>
  <si>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</si>
  <si>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</si>
  <si>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</si>
  <si>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</si>
  <si>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</si>
  <si>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</si>
  <si>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</si>
  <si>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</si>
  <si>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</si>
  <si>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</si>
  <si>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</si>
  <si>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</si>
  <si>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</si>
  <si>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</si>
  <si>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</si>
  <si>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</si>
  <si>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</si>
  <si>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</si>
  <si>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</si>
  <si>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</si>
  <si>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</si>
  <si>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</si>
  <si>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</si>
  <si>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</si>
  <si>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</si>
  <si>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</si>
  <si>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</si>
  <si>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</si>
  <si>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</si>
  <si>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</si>
  <si>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</si>
  <si>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</si>
  <si>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</si>
  <si>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</si>
  <si>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</si>
  <si>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</si>
  <si>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</si>
  <si>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</si>
  <si>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</si>
  <si>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</si>
  <si>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</si>
  <si>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</si>
  <si>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</si>
  <si>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</si>
  <si>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</si>
  <si>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</si>
  <si>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</si>
  <si>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</si>
  <si>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</si>
  <si>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</si>
  <si>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</si>
  <si>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</si>
  <si>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</si>
  <si>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</si>
  <si>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</si>
  <si>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</si>
  <si>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</si>
  <si>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</si>
  <si>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</si>
  <si>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</si>
  <si>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</si>
  <si>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</si>
  <si>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</si>
  <si>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</si>
  <si>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</si>
  <si>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</si>
  <si>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</si>
  <si>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</si>
  <si>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</si>
  <si>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</si>
  <si>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</si>
  <si>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</si>
  <si>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</si>
  <si>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</si>
  <si>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</si>
  <si>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</si>
  <si>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</si>
  <si>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</si>
  <si>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</si>
  <si>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</si>
  <si>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</si>
  <si>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</si>
  <si>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</si>
  <si>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</si>
  <si>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</si>
  <si>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</si>
  <si>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</si>
  <si>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</si>
  <si>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</si>
  <si>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</si>
  <si>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</si>
  <si>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</si>
  <si>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</si>
  <si>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</si>
  <si>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</si>
  <si>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</si>
  <si>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</si>
  <si>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</si>
  <si>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</si>
  <si>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</si>
  <si>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</si>
  <si>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</si>
  <si>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</si>
  <si>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</si>
  <si>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</si>
  <si>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</si>
  <si>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</si>
  <si>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</si>
  <si>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</si>
  <si>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</si>
  <si>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</si>
  <si>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</si>
  <si>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</si>
  <si>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</si>
  <si>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</si>
  <si>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</si>
  <si>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</si>
  <si>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</si>
  <si>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</si>
  <si>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</si>
  <si>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</si>
  <si>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</si>
  <si>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</si>
  <si>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</si>
  <si>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</si>
  <si>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</si>
  <si>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</si>
  <si>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</si>
  <si>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</si>
  <si>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</si>
  <si>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</si>
  <si>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</si>
  <si>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</si>
  <si>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</si>
  <si>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</si>
  <si>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</si>
  <si>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</si>
  <si>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</si>
  <si>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</si>
  <si>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</si>
  <si>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</si>
  <si>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</si>
  <si>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</si>
  <si>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</si>
  <si>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</si>
  <si>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</si>
  <si>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</si>
  <si>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</si>
  <si>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</si>
  <si>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</si>
  <si>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</si>
  <si>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</si>
  <si>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</si>
  <si>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</si>
  <si>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</si>
  <si>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</si>
  <si>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</si>
  <si>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</si>
  <si>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</si>
  <si>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</si>
  <si>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</si>
  <si>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</si>
  <si>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</si>
  <si>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</si>
  <si>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</si>
  <si>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</si>
  <si>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</si>
  <si>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</si>
  <si>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</si>
  <si>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</si>
  <si>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</si>
  <si>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</si>
  <si>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</si>
  <si>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</si>
  <si>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</si>
  <si>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</si>
  <si>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</si>
  <si>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</si>
  <si>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</si>
  <si>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</si>
  <si>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</si>
  <si>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</si>
  <si>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</si>
  <si>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</si>
  <si>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</si>
  <si>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</si>
  <si>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</si>
  <si>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</si>
  <si>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</si>
  <si>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</si>
  <si>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</si>
  <si>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</si>
  <si>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</si>
  <si>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</si>
  <si>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</si>
  <si>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</si>
  <si>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</si>
  <si>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</si>
  <si>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</si>
  <si>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</si>
  <si>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</si>
  <si>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</si>
  <si>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</si>
  <si>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</si>
  <si>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</si>
  <si>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</si>
  <si>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</si>
  <si>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</si>
  <si>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</si>
  <si>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</si>
  <si>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</si>
  <si>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</si>
  <si>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</si>
  <si>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</si>
  <si>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</si>
  <si>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</si>
  <si>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</si>
  <si>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</si>
  <si>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</si>
  <si>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</si>
  <si>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</si>
  <si>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</si>
  <si>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</si>
  <si>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</si>
  <si>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</si>
  <si>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</si>
  <si>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</si>
  <si>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</si>
  <si>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</si>
  <si>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</si>
  <si>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</si>
  <si>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</si>
  <si>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</si>
  <si>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</si>
  <si>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</si>
  <si>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</si>
  <si>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</si>
  <si>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</si>
  <si>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</si>
  <si>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</si>
  <si>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</si>
  <si>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</si>
  <si>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</si>
  <si>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</si>
  <si>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</si>
  <si>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</si>
  <si>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</si>
  <si>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</si>
  <si>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</si>
  <si>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</si>
  <si>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</si>
  <si>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</si>
  <si>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</si>
  <si>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</si>
  <si>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</si>
  <si>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</si>
  <si>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</si>
  <si>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</si>
  <si>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</si>
  <si>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</si>
  <si>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</si>
  <si>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</si>
  <si>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</si>
  <si>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</si>
  <si>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</si>
  <si>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</si>
  <si>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</si>
  <si>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</si>
  <si>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</si>
  <si>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</si>
  <si>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</si>
  <si>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</si>
  <si>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</si>
  <si>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</si>
  <si>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</si>
  <si>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</si>
  <si>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</si>
  <si>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</si>
  <si>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</si>
  <si>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</si>
  <si>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</si>
  <si>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</si>
  <si>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</si>
  <si>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</si>
  <si>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</si>
  <si>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</si>
  <si>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</si>
  <si>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</si>
  <si>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</si>
  <si>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</si>
  <si>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</si>
  <si>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</si>
  <si>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</si>
  <si>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</si>
  <si>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</si>
  <si>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</si>
  <si>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</si>
  <si>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</si>
  <si>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</si>
  <si>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</si>
  <si>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</si>
  <si>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</si>
  <si>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</si>
  <si>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</si>
  <si>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</si>
  <si>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</si>
  <si>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</si>
  <si>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</si>
  <si>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</si>
  <si>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</si>
  <si>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</si>
  <si>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</si>
  <si>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</si>
  <si>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</si>
  <si>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</si>
  <si>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</si>
  <si>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</si>
  <si>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</si>
  <si>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</si>
  <si>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</si>
  <si>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</si>
  <si>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</si>
  <si>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</si>
  <si>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</si>
  <si>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</si>
  <si>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</si>
  <si>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</si>
  <si>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</si>
  <si>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</si>
  <si>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</si>
  <si>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</si>
  <si>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</si>
  <si>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</si>
  <si>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</si>
  <si>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</si>
  <si>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</si>
  <si>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</si>
  <si>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</si>
  <si>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</si>
  <si>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</si>
  <si>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</si>
  <si>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</si>
  <si>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</si>
  <si>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</si>
  <si>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</si>
  <si>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</si>
  <si>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</si>
  <si>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</si>
  <si>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</si>
  <si>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</si>
  <si>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</si>
  <si>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</si>
  <si>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</si>
  <si>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</si>
  <si>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</si>
  <si>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</si>
  <si>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</si>
  <si>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</si>
  <si>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</si>
  <si>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</si>
  <si>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</si>
  <si>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</si>
  <si>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</si>
  <si>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</si>
  <si>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</si>
  <si>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</si>
  <si>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</si>
  <si>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</si>
  <si>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</si>
  <si>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</si>
  <si>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</si>
  <si>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</si>
  <si>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</si>
  <si>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</si>
  <si>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</si>
  <si>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</si>
  <si>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</si>
  <si>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</si>
  <si>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</si>
  <si>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</si>
  <si>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</si>
  <si>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</si>
  <si>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</si>
  <si>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</si>
  <si>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</si>
  <si>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</si>
  <si>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</si>
  <si>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</si>
  <si>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</si>
  <si>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</si>
  <si>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</si>
  <si>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</si>
  <si>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</si>
  <si>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</si>
  <si>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</si>
  <si>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</si>
  <si>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</si>
  <si>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</si>
  <si>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</si>
  <si>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</si>
  <si>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</si>
  <si>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</si>
  <si>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</si>
  <si>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</si>
  <si>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</si>
  <si>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</si>
  <si>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</si>
  <si>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</si>
  <si>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</si>
  <si>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</si>
  <si>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</si>
  <si>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</si>
  <si>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</si>
  <si>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</si>
  <si>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</si>
  <si>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</si>
  <si>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</si>
  <si>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</si>
  <si>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</si>
  <si>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</si>
  <si>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</si>
  <si>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</si>
  <si>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</si>
  <si>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</si>
  <si>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</si>
  <si>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</si>
  <si>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</si>
  <si>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</si>
  <si>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</si>
  <si>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</si>
  <si>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</si>
  <si>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</si>
  <si>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</si>
  <si>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</si>
  <si>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</si>
  <si>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</si>
  <si>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</si>
  <si>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</si>
  <si>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</si>
  <si>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</si>
  <si>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</si>
  <si>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</si>
  <si>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</si>
  <si>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</si>
  <si>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</si>
  <si>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</si>
  <si>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</si>
  <si>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</si>
  <si>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</si>
  <si>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</si>
  <si>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</si>
  <si>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</si>
  <si>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</si>
  <si>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</si>
  <si>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</si>
  <si>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</si>
  <si>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</si>
  <si>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</si>
  <si>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</si>
  <si>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</si>
  <si>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</si>
  <si>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</si>
  <si>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</si>
  <si>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</si>
  <si>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</si>
  <si>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</si>
  <si>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</si>
  <si>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</si>
  <si>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</si>
  <si>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</si>
  <si>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</si>
  <si>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</si>
  <si>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</si>
  <si>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</si>
  <si>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</si>
  <si>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</si>
  <si>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</si>
  <si>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</si>
  <si>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</si>
  <si>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</si>
  <si>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</si>
  <si>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</si>
  <si>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</si>
  <si>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</si>
  <si>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</si>
  <si>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</si>
  <si>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</si>
  <si>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</si>
  <si>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</si>
  <si>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</si>
  <si>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</si>
  <si>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</si>
  <si>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</si>
  <si>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</si>
  <si>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</si>
  <si>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</si>
  <si>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</si>
  <si>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</si>
  <si>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</si>
  <si>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</si>
  <si>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</si>
  <si>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</si>
  <si>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</si>
  <si>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</si>
  <si>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</si>
  <si>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</si>
  <si>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</si>
  <si>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</si>
  <si>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</si>
  <si>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</si>
  <si>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</si>
  <si>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</si>
  <si>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</si>
  <si>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</si>
  <si>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</si>
  <si>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</si>
  <si>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</si>
  <si>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</si>
  <si>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</si>
  <si>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</si>
  <si>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</si>
  <si>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</si>
  <si>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</si>
  <si>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</si>
  <si>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</si>
  <si>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</si>
  <si>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</si>
  <si>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</si>
  <si>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</si>
  <si>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</si>
  <si>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</si>
  <si>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</si>
  <si>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</si>
  <si>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</si>
  <si>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</si>
  <si>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</si>
  <si>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</si>
  <si>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</si>
  <si>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</si>
  <si>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</si>
  <si>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</si>
  <si>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</si>
  <si>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</si>
  <si>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</si>
  <si>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</si>
  <si>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</si>
  <si>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</si>
  <si>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</si>
  <si>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</si>
  <si>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</si>
  <si>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</si>
  <si>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</si>
  <si>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</si>
  <si>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</si>
  <si>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</si>
  <si>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</si>
  <si>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</si>
  <si>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</si>
  <si>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</si>
  <si>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</si>
  <si>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</si>
  <si>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</si>
  <si>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</si>
  <si>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</si>
  <si>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</si>
  <si>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</si>
  <si>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</si>
  <si>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</si>
  <si>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</si>
  <si>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</si>
  <si>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</si>
  <si>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</si>
  <si>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</si>
  <si>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</si>
  <si>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</si>
  <si>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</si>
  <si>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</si>
  <si>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</si>
  <si>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</si>
  <si>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</si>
  <si>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</si>
  <si>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</si>
  <si>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</si>
  <si>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</si>
  <si>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</si>
  <si>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</si>
  <si>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</si>
  <si>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</si>
  <si>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</si>
  <si>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</si>
  <si>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</si>
  <si>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</si>
  <si>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</si>
  <si>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</si>
  <si>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</si>
  <si>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</si>
  <si>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</si>
  <si>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</si>
  <si>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</si>
  <si>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</si>
  <si>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</si>
  <si>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</si>
  <si>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</si>
  <si>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</si>
  <si>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</si>
  <si>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</si>
  <si>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</si>
  <si>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</si>
  <si>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</si>
  <si>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</si>
  <si>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</si>
  <si>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</si>
  <si>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</si>
  <si>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</si>
  <si>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</si>
  <si>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</si>
  <si>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</si>
  <si>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</si>
  <si>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</si>
  <si>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</si>
  <si>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</si>
  <si>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</si>
  <si>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</si>
  <si>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</si>
  <si>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</si>
  <si>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</si>
  <si>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</si>
  <si>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</si>
  <si>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</si>
  <si>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</si>
  <si>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</si>
  <si>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</si>
  <si>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</si>
  <si>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</si>
  <si>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</si>
  <si>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</si>
  <si>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</si>
  <si>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</si>
  <si>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</si>
  <si>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</si>
  <si>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</si>
  <si>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</si>
  <si>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</si>
  <si>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</si>
  <si>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</si>
  <si>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</si>
  <si>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</si>
  <si>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</si>
  <si>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</si>
  <si>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</si>
  <si>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</si>
  <si>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</si>
  <si>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</si>
  <si>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</si>
  <si>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</si>
  <si>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</si>
  <si>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</si>
  <si>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</si>
  <si>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</si>
  <si>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</si>
  <si>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</si>
  <si>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</si>
  <si>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</si>
  <si>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</si>
  <si>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</si>
  <si>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</si>
  <si>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</si>
  <si>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</si>
  <si>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</si>
  <si>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</si>
  <si>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</si>
  <si>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</si>
  <si>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</si>
  <si>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</si>
  <si>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</si>
  <si>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</si>
  <si>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</si>
  <si>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</si>
  <si>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</si>
  <si>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</si>
  <si>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</si>
  <si>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</si>
  <si>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</si>
  <si>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</si>
  <si>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</si>
  <si>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</si>
  <si>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</si>
  <si>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</si>
  <si>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</si>
  <si>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</si>
  <si>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</si>
  <si>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</si>
  <si>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</si>
  <si>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</si>
  <si>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</si>
  <si>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</si>
  <si>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</si>
  <si>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</si>
  <si>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</si>
  <si>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</si>
  <si>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</si>
  <si>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</si>
  <si>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</si>
  <si>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</si>
  <si>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</si>
  <si>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</si>
  <si>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</si>
  <si>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</si>
  <si>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</si>
  <si>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</si>
  <si>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</si>
  <si>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</si>
  <si>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</si>
  <si>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</si>
  <si>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</si>
  <si>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</si>
  <si>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</si>
  <si>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</si>
  <si>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</si>
  <si>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</si>
  <si>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</si>
  <si>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</si>
  <si>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</si>
  <si>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</si>
  <si>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</si>
  <si>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</si>
  <si>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</si>
  <si>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</si>
  <si>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</si>
  <si>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</si>
  <si>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</si>
  <si>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</si>
  <si>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</si>
  <si>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</si>
  <si>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</si>
  <si>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</si>
  <si>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</si>
  <si>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</si>
  <si>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</si>
  <si>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</si>
  <si>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</si>
  <si>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</si>
  <si>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</si>
  <si>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</si>
  <si>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</si>
  <si>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</si>
  <si>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</si>
  <si>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</si>
  <si>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</si>
  <si>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</si>
  <si>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</si>
  <si>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</si>
  <si>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</si>
  <si>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</si>
  <si>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</si>
  <si>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</si>
  <si>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</si>
  <si>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</si>
  <si>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</si>
  <si>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</si>
  <si>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</si>
  <si>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</si>
  <si>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</si>
  <si>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</si>
  <si>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</si>
  <si>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</si>
  <si>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</si>
  <si>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</si>
  <si>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</si>
  <si>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</si>
  <si>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</si>
  <si>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</si>
  <si>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</si>
  <si>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</si>
  <si>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</si>
  <si>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</si>
  <si>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</si>
  <si>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</si>
  <si>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</si>
  <si>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</si>
  <si>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</si>
  <si>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</si>
  <si>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</si>
  <si>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</si>
  <si>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</si>
  <si>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</si>
  <si>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</si>
  <si>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</si>
  <si>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</si>
  <si>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</si>
  <si>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</si>
  <si>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</si>
  <si>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</si>
  <si>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</si>
  <si>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</si>
  <si>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</si>
  <si>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</si>
  <si>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</si>
  <si>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</si>
  <si>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</si>
  <si>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</si>
  <si>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</si>
  <si>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</si>
  <si>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</si>
  <si>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</si>
  <si>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</si>
  <si>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</si>
  <si>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</si>
  <si>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</si>
  <si>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</si>
  <si>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</si>
  <si>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</si>
  <si>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</si>
  <si>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</si>
  <si>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</si>
  <si>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</si>
  <si>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</si>
  <si>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</si>
  <si>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</si>
  <si>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</si>
  <si>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</si>
  <si>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</si>
  <si>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</si>
  <si>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</si>
  <si>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</si>
  <si>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</si>
  <si>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</si>
  <si>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</si>
  <si>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</si>
  <si>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</si>
  <si>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</si>
  <si>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</si>
  <si>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</si>
  <si>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</si>
  <si>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</si>
  <si>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</si>
  <si>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</si>
  <si>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</si>
  <si>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</si>
  <si>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</si>
  <si>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</si>
  <si>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</si>
  <si>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</si>
  <si>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</si>
  <si>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</si>
  <si>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</si>
  <si>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</si>
  <si>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</si>
  <si>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</si>
  <si>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</si>
  <si>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</si>
  <si>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</si>
  <si>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</si>
  <si>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</si>
  <si>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</si>
  <si>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</si>
  <si>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</si>
  <si>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</si>
  <si>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</si>
  <si>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</si>
  <si>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</si>
  <si>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</si>
  <si>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</si>
  <si>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</si>
  <si>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</si>
  <si>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</si>
  <si>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</si>
  <si>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</si>
  <si>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</si>
  <si>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</si>
  <si>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</si>
  <si>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</si>
  <si>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</si>
  <si>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</si>
  <si>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</si>
  <si>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</si>
  <si>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</si>
  <si>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</si>
  <si>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</si>
  <si>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</si>
  <si>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</si>
  <si>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</si>
  <si>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</si>
  <si>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</si>
  <si>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</si>
  <si>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</si>
  <si>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</si>
  <si>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</si>
  <si>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</si>
  <si>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</si>
  <si>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</si>
  <si>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</si>
  <si>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</si>
  <si>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</si>
  <si>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</si>
  <si>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</si>
  <si>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</si>
  <si>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</si>
  <si>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</si>
  <si>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</si>
  <si>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</si>
  <si>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</si>
  <si>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</si>
  <si>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</si>
  <si>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</si>
  <si>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</si>
  <si>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</si>
  <si>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</si>
  <si>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</si>
  <si>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</si>
  <si>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</si>
  <si>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</si>
  <si>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</si>
  <si>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</si>
  <si>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</si>
  <si>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</si>
  <si>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</si>
  <si>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</si>
  <si>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</si>
  <si>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</si>
  <si>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</si>
  <si>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</si>
  <si>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</si>
  <si>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</si>
  <si>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</si>
  <si>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</si>
  <si>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</si>
  <si>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</si>
  <si>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</si>
  <si>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</si>
  <si>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</si>
  <si>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</si>
  <si>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</si>
  <si>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</si>
  <si>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</si>
  <si>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</si>
  <si>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</si>
  <si>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</si>
  <si>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</si>
  <si>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</si>
  <si>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</si>
  <si>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</si>
  <si>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</si>
  <si>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</si>
  <si>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</si>
  <si>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</si>
  <si>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</si>
  <si>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</si>
  <si>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</si>
  <si>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</si>
  <si>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</si>
  <si>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</si>
  <si>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</si>
  <si>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</si>
  <si>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</si>
  <si>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</si>
  <si>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</si>
  <si>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</si>
  <si>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</si>
  <si>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</si>
  <si>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</si>
  <si>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</si>
  <si>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</si>
  <si>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</si>
  <si>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</si>
  <si>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</si>
  <si>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</si>
  <si>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</si>
  <si>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</si>
  <si>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</si>
  <si>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</si>
  <si>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</si>
  <si>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</si>
  <si>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</si>
  <si>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</si>
  <si>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</si>
  <si>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</si>
  <si>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</si>
  <si>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</si>
  <si>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</si>
  <si>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</si>
  <si>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</si>
  <si>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</si>
  <si>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</si>
  <si>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</si>
  <si>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</si>
  <si>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</si>
  <si>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</si>
  <si>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</si>
  <si>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</si>
  <si>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</si>
  <si>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</si>
  <si>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</si>
  <si>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</si>
  <si>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</si>
  <si>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</si>
  <si>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</si>
  <si>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</si>
  <si>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</si>
  <si>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</si>
  <si>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</si>
  <si>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</si>
  <si>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</si>
  <si>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</si>
  <si>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</si>
  <si>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</si>
  <si>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</si>
  <si>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</si>
  <si>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</si>
  <si>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</si>
  <si>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</si>
  <si>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</si>
  <si>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</si>
  <si>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</si>
  <si>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</si>
  <si>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</si>
  <si>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</si>
  <si>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</si>
  <si>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</si>
  <si>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</si>
  <si>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</si>
  <si>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</si>
  <si>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</si>
  <si>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</si>
  <si>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</si>
  <si>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</si>
  <si>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</si>
  <si>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</si>
  <si>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</si>
  <si>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</si>
  <si>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</si>
  <si>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</si>
  <si>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</si>
  <si>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</si>
  <si>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</si>
  <si>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</si>
  <si>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</si>
  <si>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</si>
  <si>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</si>
  <si>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</si>
  <si>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</si>
  <si>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</si>
  <si>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</si>
  <si>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</si>
  <si>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</si>
  <si>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</si>
  <si>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</si>
  <si>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</si>
  <si>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</si>
  <si>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</si>
  <si>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</si>
  <si>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</si>
  <si>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</si>
  <si>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</si>
  <si>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</si>
  <si>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</si>
  <si>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</si>
  <si>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</si>
  <si>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</si>
  <si>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</si>
  <si>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</si>
  <si>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</si>
  <si>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</si>
  <si>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</si>
  <si>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</si>
  <si>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</si>
  <si>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</si>
  <si>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</si>
  <si>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</si>
  <si>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</si>
  <si>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</si>
  <si>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</si>
  <si>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</si>
  <si>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</si>
  <si>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</si>
  <si>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</si>
  <si>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</si>
  <si>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</si>
  <si>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</si>
  <si>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</si>
  <si>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</si>
  <si>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</si>
  <si>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</si>
  <si>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</si>
  <si>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</si>
  <si>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</si>
  <si>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</si>
  <si>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</si>
  <si>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</si>
  <si>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</si>
  <si>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</si>
  <si>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</si>
  <si>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</si>
  <si>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</si>
  <si>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</si>
  <si>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</si>
  <si>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</si>
  <si>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</si>
  <si>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</si>
  <si>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</si>
  <si>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</si>
  <si>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</si>
  <si>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</si>
  <si>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</si>
  <si>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</si>
  <si>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</si>
  <si>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</si>
  <si>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</si>
  <si>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</si>
  <si>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</si>
  <si>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</si>
  <si>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</si>
  <si>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</si>
  <si>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</si>
  <si>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</si>
  <si>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</si>
  <si>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</si>
  <si>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</si>
  <si>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</si>
  <si>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</si>
  <si>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</si>
  <si>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</si>
  <si>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</si>
  <si>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</si>
  <si>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</si>
  <si>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</si>
  <si>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</si>
  <si>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</si>
  <si>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</si>
  <si>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</si>
  <si>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</si>
  <si>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</si>
  <si>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</si>
  <si>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</si>
  <si>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</si>
  <si>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</si>
  <si>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</si>
  <si>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</si>
  <si>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</si>
  <si>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</si>
  <si>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</si>
  <si>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</si>
  <si>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</si>
  <si>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</si>
  <si>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</si>
  <si>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</si>
  <si>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</si>
  <si>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</si>
  <si>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</si>
  <si>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</si>
  <si>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</si>
  <si>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</si>
  <si>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</si>
  <si>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</si>
  <si>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</si>
  <si>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</si>
  <si>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</si>
  <si>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</si>
  <si>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</si>
  <si>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</si>
  <si>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</si>
  <si>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</si>
  <si>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</si>
  <si>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</si>
  <si>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</si>
  <si>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</si>
  <si>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</si>
  <si>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</si>
  <si>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</si>
  <si>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</si>
  <si>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</si>
  <si>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</si>
  <si>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</si>
  <si>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</si>
  <si>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</si>
  <si>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</si>
  <si>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</si>
  <si>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</si>
  <si>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</si>
  <si>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</si>
  <si>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</si>
  <si>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</si>
  <si>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</si>
  <si>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</si>
  <si>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</si>
  <si>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</si>
  <si>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</si>
  <si>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</si>
  <si>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</si>
  <si>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</si>
  <si>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</si>
  <si>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</si>
  <si>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</si>
  <si>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</si>
  <si>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</si>
  <si>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</si>
  <si>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</si>
  <si>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</si>
  <si>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</si>
  <si>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</si>
  <si>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</si>
  <si>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</si>
  <si>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</si>
  <si>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</si>
  <si>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</si>
  <si>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</si>
  <si>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</si>
  <si>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</si>
  <si>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</si>
  <si>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</si>
  <si>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</si>
  <si>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</si>
  <si>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</si>
  <si>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</si>
  <si>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</si>
  <si>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</si>
  <si>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</si>
  <si>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</si>
  <si>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</si>
  <si>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</si>
  <si>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</si>
  <si>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</si>
  <si>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</si>
  <si>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</si>
  <si>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</si>
  <si>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</si>
  <si>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</si>
  <si>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</si>
  <si>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</si>
  <si>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</si>
  <si>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</si>
  <si>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</si>
  <si>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</si>
  <si>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</si>
  <si>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</si>
  <si>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</si>
  <si>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</si>
  <si>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</si>
  <si>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</si>
  <si>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</si>
  <si>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</si>
  <si>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</si>
  <si>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</si>
  <si>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</si>
  <si>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</si>
  <si>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</si>
  <si>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</si>
  <si>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</si>
  <si>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</si>
  <si>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</si>
  <si>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</si>
  <si>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</si>
  <si>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</si>
  <si>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</si>
  <si>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</si>
  <si>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</si>
  <si>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</si>
  <si>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</si>
  <si>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</si>
  <si>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</si>
  <si>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</si>
  <si>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</si>
  <si>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</si>
  <si>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</si>
  <si>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</si>
  <si>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</si>
  <si>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</si>
  <si>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</si>
  <si>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</si>
  <si>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</si>
  <si>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</si>
  <si>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</si>
  <si>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</si>
  <si>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</si>
  <si>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</si>
  <si>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</si>
  <si>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</si>
  <si>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</si>
  <si>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</si>
  <si>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</si>
  <si>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</si>
  <si>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</si>
  <si>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</si>
  <si>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</si>
  <si>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</si>
  <si>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</si>
  <si>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</si>
  <si>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</si>
  <si>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</si>
  <si>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</si>
  <si>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</si>
  <si>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</si>
  <si>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</si>
  <si>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</si>
  <si>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</si>
  <si>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</si>
  <si>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</si>
  <si>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</si>
  <si>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</si>
  <si>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</si>
  <si>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</si>
  <si>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</si>
  <si>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</si>
  <si>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</si>
  <si>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</si>
  <si>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</si>
  <si>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</si>
  <si>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</si>
  <si>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</si>
  <si>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</si>
  <si>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</si>
  <si>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</si>
  <si>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</si>
  <si>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</si>
  <si>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</si>
  <si>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</si>
  <si>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</si>
  <si>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</si>
  <si>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</si>
  <si>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</si>
  <si>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</si>
  <si>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</si>
  <si>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</si>
  <si>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</si>
  <si>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</si>
  <si>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</si>
  <si>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</si>
  <si>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</si>
  <si>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</si>
  <si>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</si>
  <si>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</si>
  <si>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</si>
  <si>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</si>
  <si>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</si>
  <si>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</si>
  <si>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</si>
  <si>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</si>
  <si>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</si>
  <si>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</si>
  <si>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</si>
  <si>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</si>
  <si>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</si>
  <si>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</si>
  <si>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</si>
  <si>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</si>
  <si>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</si>
  <si>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</si>
  <si>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</si>
  <si>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</si>
  <si>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</si>
  <si>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</si>
  <si>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</si>
  <si>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</si>
  <si>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</si>
  <si>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</si>
  <si>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</si>
  <si>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</si>
  <si>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</si>
  <si>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</si>
  <si>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</si>
  <si>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</si>
  <si>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</si>
  <si>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</si>
  <si>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</si>
  <si>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</si>
  <si>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</si>
  <si>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</si>
  <si>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</si>
  <si>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</si>
  <si>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</si>
  <si>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</si>
  <si>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</si>
  <si>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</si>
  <si>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</si>
  <si>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</si>
  <si>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</si>
  <si>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</si>
  <si>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</si>
  <si>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</si>
  <si>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</si>
  <si>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</si>
  <si>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</si>
  <si>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</si>
  <si>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</si>
  <si>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</si>
  <si>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</si>
  <si>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</si>
  <si>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</si>
  <si>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</si>
  <si>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</si>
  <si>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</si>
  <si>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</si>
  <si>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</si>
  <si>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</si>
  <si>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</si>
  <si>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</si>
  <si>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</si>
  <si>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</si>
  <si>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</si>
  <si>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</si>
  <si>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</si>
  <si>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</si>
  <si>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</si>
  <si>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</si>
  <si>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</si>
  <si>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</si>
  <si>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</si>
  <si>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</si>
  <si>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</si>
  <si>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</si>
  <si>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</si>
  <si>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</si>
  <si>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</si>
  <si>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</si>
  <si>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</si>
  <si>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</si>
  <si>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</si>
  <si>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</si>
  <si>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</si>
  <si>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</si>
  <si>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</si>
  <si>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</si>
  <si>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</si>
  <si>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</si>
  <si>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</si>
  <si>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</si>
  <si>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</si>
  <si>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</si>
  <si>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</si>
  <si>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</si>
  <si>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</si>
  <si>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</si>
  <si>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</si>
  <si>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</si>
  <si>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</si>
  <si>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</si>
  <si>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</si>
  <si>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</si>
  <si>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</si>
  <si>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</si>
  <si>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</si>
  <si>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</si>
  <si>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</si>
  <si>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</si>
  <si>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</si>
  <si>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</si>
  <si>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</si>
  <si>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</si>
  <si>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</si>
  <si>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</si>
  <si>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</si>
  <si>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</si>
  <si>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</si>
  <si>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</si>
  <si>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</si>
  <si>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</si>
  <si>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</si>
  <si>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</si>
  <si>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</si>
  <si>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</si>
  <si>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</si>
  <si>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</si>
  <si>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</si>
  <si>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</si>
  <si>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</si>
  <si>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</si>
  <si>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</si>
  <si>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</si>
  <si>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</si>
  <si>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</si>
  <si>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</si>
  <si>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</si>
  <si>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</si>
  <si>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</si>
  <si>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</si>
  <si>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</si>
  <si>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</si>
  <si>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</si>
  <si>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</si>
  <si>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</si>
  <si>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</si>
  <si>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</si>
  <si>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</si>
  <si>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</si>
  <si>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</si>
  <si>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</si>
  <si>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</si>
  <si>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</si>
  <si>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</si>
  <si>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</si>
  <si>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</si>
  <si>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</si>
  <si>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</si>
  <si>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</si>
  <si>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</si>
  <si>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</si>
  <si>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</si>
  <si>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</si>
  <si>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</si>
  <si>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</si>
  <si>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</si>
  <si>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</si>
  <si>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</si>
  <si>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</si>
  <si>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</si>
  <si>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</si>
  <si>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</si>
  <si>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</si>
  <si>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</si>
  <si>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</si>
  <si>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</si>
  <si>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</si>
  <si>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</si>
  <si>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</si>
  <si>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</si>
  <si>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</si>
  <si>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</si>
  <si>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</si>
  <si>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</si>
  <si>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</si>
  <si>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</si>
  <si>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</si>
  <si>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</si>
  <si>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</si>
  <si>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</si>
  <si>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</si>
  <si>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</si>
  <si>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</si>
  <si>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</si>
  <si>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</si>
  <si>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</si>
  <si>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</si>
  <si>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</si>
  <si>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</si>
  <si>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</si>
  <si>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</si>
  <si>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</si>
  <si>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</si>
  <si>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</si>
  <si>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</si>
  <si>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</si>
  <si>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</si>
  <si>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</si>
  <si>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</si>
  <si>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</si>
  <si>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</si>
  <si>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</si>
  <si>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</si>
  <si>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</si>
  <si>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</si>
  <si>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</si>
  <si>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</si>
  <si>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</si>
  <si>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</si>
  <si>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</si>
  <si>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</si>
  <si>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</si>
  <si>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</si>
  <si>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</si>
  <si>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</si>
  <si>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</si>
  <si>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</si>
  <si>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</si>
  <si>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</si>
  <si>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</si>
  <si>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</si>
  <si>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</si>
  <si>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</si>
  <si>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</si>
  <si>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</si>
  <si>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</si>
  <si>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</si>
  <si>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</si>
  <si>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</si>
  <si>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</si>
  <si>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</si>
  <si>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</si>
  <si>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</si>
  <si>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</si>
  <si>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</si>
  <si>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</si>
  <si>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</si>
  <si>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</si>
  <si>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</si>
  <si>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</si>
  <si>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</si>
  <si>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</si>
  <si>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</si>
  <si>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</si>
  <si>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</si>
  <si>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</si>
  <si>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</si>
  <si>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</si>
  <si>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</si>
  <si>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</si>
  <si>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</si>
  <si>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</si>
  <si>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</si>
  <si>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</si>
  <si>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</si>
  <si>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</si>
  <si>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</si>
  <si>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</si>
  <si>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</si>
  <si>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</si>
  <si>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</si>
  <si>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</si>
  <si>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</si>
  <si>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</si>
  <si>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</si>
  <si>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</si>
  <si>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</si>
  <si>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</si>
  <si>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</si>
  <si>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</si>
  <si>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</si>
  <si>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</si>
  <si>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</si>
  <si>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</si>
  <si>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</si>
  <si>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</si>
  <si>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</si>
  <si>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</si>
  <si>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</si>
  <si>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</si>
  <si>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</si>
  <si>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</si>
  <si>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</si>
  <si>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</si>
  <si>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</si>
  <si>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</si>
  <si>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</si>
  <si>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</si>
  <si>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</si>
  <si>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</si>
  <si>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</si>
  <si>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</si>
  <si>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</si>
  <si>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</si>
  <si>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</si>
  <si>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</si>
  <si>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</si>
  <si>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</si>
  <si>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</si>
  <si>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</si>
  <si>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</si>
  <si>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</si>
  <si>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</si>
  <si>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</si>
  <si>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</si>
  <si>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</si>
  <si>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</si>
  <si>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</si>
  <si>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</si>
  <si>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</si>
  <si>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</si>
  <si>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</si>
  <si>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</si>
  <si>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</si>
  <si>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</si>
  <si>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</si>
  <si>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</si>
  <si>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</si>
  <si>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</si>
  <si>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</si>
  <si>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</si>
  <si>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</si>
  <si>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</si>
  <si>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</si>
  <si>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</si>
  <si>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</si>
  <si>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</si>
  <si>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</si>
  <si>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</si>
  <si>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</si>
  <si>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</si>
  <si>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</si>
  <si>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</si>
  <si>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</si>
  <si>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</si>
  <si>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</si>
  <si>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</si>
  <si>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</si>
  <si>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</si>
  <si>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</si>
  <si>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</si>
  <si>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</si>
  <si>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</si>
  <si>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</si>
  <si>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</si>
  <si>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</si>
  <si>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</si>
  <si>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</si>
  <si>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</si>
  <si>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</si>
  <si>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</si>
  <si>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</si>
  <si>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</si>
  <si>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</si>
  <si>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</si>
  <si>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</si>
  <si>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</si>
  <si>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</si>
  <si>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</si>
  <si>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</si>
  <si>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</si>
  <si>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</si>
  <si>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</si>
  <si>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</si>
  <si>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</si>
  <si>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</si>
  <si>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</si>
  <si>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</si>
  <si>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</si>
  <si>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</si>
  <si>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</si>
  <si>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</si>
  <si>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</si>
  <si>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</si>
  <si>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</si>
  <si>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</si>
  <si>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</si>
  <si>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</si>
  <si>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</si>
  <si>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</si>
  <si>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</si>
  <si>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</si>
  <si>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</si>
  <si>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</si>
  <si>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</si>
  <si>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</si>
  <si>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</si>
  <si>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</si>
  <si>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</si>
  <si>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</si>
  <si>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</si>
  <si>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</si>
  <si>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</si>
  <si>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</si>
  <si>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</si>
  <si>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</si>
  <si>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</si>
  <si>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</si>
  <si>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</si>
  <si>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</si>
  <si>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</si>
  <si>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</si>
  <si>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</si>
  <si>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</si>
  <si>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</si>
  <si>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</si>
  <si>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</si>
  <si>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</si>
  <si>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</si>
  <si>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</si>
  <si>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</si>
  <si>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</si>
  <si>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</si>
  <si>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</si>
  <si>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</si>
  <si>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</si>
  <si>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</si>
  <si>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</si>
  <si>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</si>
  <si>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</si>
  <si>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</si>
  <si>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</si>
  <si>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</si>
  <si>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</si>
  <si>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</si>
  <si>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</si>
  <si>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</si>
  <si>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</si>
  <si>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</si>
  <si>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</si>
  <si>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</si>
  <si>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</si>
  <si>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</si>
  <si>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</si>
  <si>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</si>
  <si>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</si>
  <si>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</si>
  <si>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</si>
  <si>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</si>
  <si>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</si>
  <si>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</si>
  <si>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</si>
  <si>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</si>
  <si>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</si>
  <si>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</si>
  <si>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</si>
  <si>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</si>
  <si>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</si>
  <si>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</si>
  <si>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</si>
  <si>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</si>
  <si>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</si>
  <si>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</si>
  <si>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</si>
  <si>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</si>
  <si>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</si>
  <si>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</si>
  <si>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</si>
  <si>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</si>
  <si>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</si>
  <si>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</si>
  <si>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</si>
  <si>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</si>
  <si>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</si>
  <si>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</si>
  <si>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</si>
  <si>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</si>
  <si>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</si>
  <si>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</si>
  <si>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</si>
  <si>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</si>
  <si>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</si>
  <si>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</si>
  <si>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</si>
  <si>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</si>
  <si>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</si>
  <si>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</si>
  <si>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</si>
  <si>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</si>
  <si>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</si>
  <si>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</si>
  <si>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</si>
  <si>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</si>
  <si>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</si>
  <si>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</si>
  <si>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</si>
  <si>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</si>
  <si>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</si>
  <si>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</si>
  <si>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</si>
  <si>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</si>
  <si>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</si>
  <si>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</si>
  <si>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</si>
  <si>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</si>
  <si>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</si>
  <si>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</si>
  <si>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</si>
  <si>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</si>
  <si>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</si>
  <si>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</si>
  <si>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</si>
  <si>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</si>
  <si>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</si>
  <si>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</si>
  <si>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</si>
  <si>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</si>
  <si>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</si>
  <si>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</si>
  <si>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</si>
  <si>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</si>
  <si>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</si>
  <si>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</si>
  <si>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</si>
  <si>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</si>
  <si>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</si>
  <si>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</si>
  <si>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</si>
  <si>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</si>
  <si>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</si>
  <si>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</si>
  <si>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</si>
  <si>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</si>
  <si>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</si>
  <si>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</si>
  <si>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</si>
  <si>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</si>
  <si>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</si>
  <si>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</si>
  <si>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</si>
  <si>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</si>
  <si>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</si>
  <si>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</si>
  <si>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</si>
  <si>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</si>
  <si>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</si>
  <si>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</si>
  <si>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</si>
  <si>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</si>
  <si>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</si>
  <si>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</si>
  <si>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</si>
  <si>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</si>
  <si>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</si>
  <si>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</si>
  <si>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</si>
  <si>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</si>
  <si>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</si>
  <si>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</si>
  <si>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</si>
  <si>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</si>
  <si>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</si>
  <si>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</si>
  <si>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</si>
  <si>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</si>
  <si>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</si>
  <si>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</si>
  <si>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</si>
  <si>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</si>
  <si>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</si>
  <si>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</si>
  <si>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</si>
  <si>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</si>
  <si>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</si>
  <si>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</si>
  <si>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</si>
  <si>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</si>
  <si>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</si>
  <si>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</si>
  <si>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</si>
  <si>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</si>
  <si>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</si>
  <si>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</si>
  <si>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</si>
  <si>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</si>
  <si>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</si>
  <si>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</si>
  <si>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</si>
  <si>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</si>
  <si>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</si>
  <si>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</si>
  <si>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</si>
  <si>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</si>
  <si>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</si>
  <si>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</si>
  <si>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</si>
  <si>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</si>
  <si>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</si>
  <si>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</si>
  <si>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</si>
  <si>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</si>
  <si>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</si>
  <si>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</si>
  <si>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</si>
  <si>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</si>
  <si>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</si>
  <si>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</si>
  <si>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</si>
  <si>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</si>
  <si>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</si>
  <si>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</si>
  <si>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</si>
  <si>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</si>
  <si>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</si>
  <si>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</si>
  <si>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</si>
  <si>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</si>
  <si>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</si>
  <si>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</si>
  <si>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</si>
  <si>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</si>
  <si>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</si>
  <si>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</si>
  <si>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</si>
  <si>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</si>
  <si>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</si>
  <si>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</si>
  <si>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</si>
  <si>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</si>
  <si>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</si>
  <si>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</si>
  <si>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</si>
  <si>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</si>
  <si>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</si>
  <si>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</si>
  <si>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</si>
  <si>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</si>
  <si>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</si>
  <si>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</si>
  <si>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</si>
  <si>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</si>
  <si>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</si>
  <si>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</si>
  <si>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</si>
  <si>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</si>
  <si>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</si>
  <si>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</si>
  <si>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</si>
  <si>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</si>
  <si>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</si>
  <si>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</si>
  <si>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</si>
  <si>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</si>
  <si>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</si>
  <si>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</si>
  <si>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</si>
  <si>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</si>
  <si>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</si>
  <si>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</si>
  <si>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</si>
  <si>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</si>
  <si>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</si>
  <si>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</si>
  <si>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</si>
  <si>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</si>
  <si>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</si>
  <si>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</si>
  <si>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</si>
  <si>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</si>
  <si>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</si>
  <si>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</si>
  <si>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</si>
  <si>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</si>
  <si>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</si>
  <si>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</si>
  <si>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</si>
  <si>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</si>
  <si>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</si>
  <si>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</si>
  <si>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</si>
  <si>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</si>
  <si>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</si>
  <si>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</si>
  <si>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</si>
  <si>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</si>
  <si>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</si>
  <si>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</si>
  <si>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</si>
  <si>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</si>
  <si>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</si>
  <si>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</si>
  <si>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</si>
  <si>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</si>
  <si>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</si>
  <si>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</si>
  <si>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</si>
  <si>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</si>
  <si>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</si>
  <si>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</si>
  <si>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</si>
  <si>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</si>
  <si>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</si>
  <si>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</si>
  <si>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</si>
  <si>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</si>
  <si>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</si>
  <si>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</si>
  <si>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</si>
  <si>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</si>
  <si>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</si>
  <si>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</si>
  <si>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</si>
  <si>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</si>
  <si>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</si>
  <si>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</si>
  <si>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</si>
  <si>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</si>
  <si>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</si>
  <si>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</si>
  <si>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</si>
  <si>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</si>
  <si>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</si>
  <si>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</si>
  <si>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</si>
  <si>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</si>
  <si>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</si>
  <si>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</si>
  <si>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</si>
  <si>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</si>
  <si>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</si>
  <si>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</si>
  <si>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</si>
  <si>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</si>
  <si>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</si>
  <si>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</si>
  <si>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</si>
  <si>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</si>
  <si>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</si>
  <si>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</si>
  <si>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</si>
  <si>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</si>
  <si>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</si>
  <si>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</si>
  <si>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</si>
  <si>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</si>
  <si>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</si>
  <si>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</si>
  <si>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</si>
  <si>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</si>
  <si>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</si>
  <si>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</si>
  <si>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</si>
  <si>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</si>
  <si>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</si>
  <si>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</si>
  <si>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</si>
  <si>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</si>
  <si>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</si>
  <si>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</si>
  <si>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</si>
  <si>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</si>
  <si>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</si>
  <si>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</si>
  <si>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</si>
  <si>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</si>
  <si>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</si>
  <si>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</si>
  <si>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</si>
  <si>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</si>
  <si>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</si>
  <si>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</si>
  <si>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</si>
  <si>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</si>
  <si>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</si>
  <si>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</si>
  <si>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</si>
  <si>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</si>
  <si>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</si>
  <si>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</si>
  <si>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</si>
  <si>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</si>
  <si>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</si>
  <si>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</si>
  <si>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</si>
  <si>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</si>
  <si>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</si>
  <si>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</si>
  <si>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</si>
  <si>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</si>
  <si>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</si>
  <si>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</si>
  <si>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</si>
  <si>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</si>
  <si>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</si>
  <si>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</si>
  <si>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</si>
  <si>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</si>
  <si>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</si>
  <si>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</si>
  <si>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</si>
  <si>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</si>
  <si>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</si>
  <si>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</si>
  <si>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</si>
  <si>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</si>
  <si>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</si>
  <si>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</si>
  <si>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</si>
  <si>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</si>
  <si>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</si>
  <si>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</si>
  <si>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</si>
  <si>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</si>
  <si>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</si>
  <si>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</si>
  <si>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</si>
  <si>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</si>
  <si>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</si>
  <si>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</si>
  <si>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</si>
  <si>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</si>
  <si>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</si>
  <si>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</si>
  <si>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</si>
  <si>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</si>
  <si>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</si>
  <si>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</si>
  <si>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</si>
  <si>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</si>
  <si>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</si>
  <si>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</si>
  <si>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</si>
  <si>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</si>
  <si>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</si>
  <si>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</si>
  <si>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</si>
  <si>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</si>
  <si>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</si>
  <si>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</si>
  <si>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</si>
  <si>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</si>
  <si>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</si>
  <si>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</si>
  <si>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</si>
  <si>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</si>
  <si>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</si>
  <si>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</si>
  <si>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</si>
  <si>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</si>
  <si>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</si>
  <si>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</si>
  <si>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</si>
  <si>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</si>
  <si>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</si>
  <si>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</si>
  <si>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</si>
  <si>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</si>
  <si>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</si>
  <si>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</si>
  <si>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</si>
  <si>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</si>
  <si>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</si>
  <si>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</si>
  <si>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</si>
  <si>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</si>
  <si>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</si>
  <si>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</si>
  <si>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</si>
  <si>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</si>
  <si>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</si>
  <si>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</si>
  <si>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</si>
  <si>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</si>
  <si>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</si>
  <si>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</si>
  <si>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</si>
  <si>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</si>
  <si>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</si>
  <si>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</si>
  <si>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</si>
  <si>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</si>
  <si>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</si>
  <si>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</si>
  <si>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</si>
  <si>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</si>
  <si>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</si>
  <si>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</si>
  <si>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</si>
  <si>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</si>
  <si>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</si>
  <si>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</si>
  <si>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</si>
  <si>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</si>
  <si>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</si>
  <si>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</si>
  <si>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</si>
  <si>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</si>
  <si>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</si>
  <si>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</si>
  <si>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</si>
  <si>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</si>
  <si>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</si>
  <si>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</si>
  <si>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</si>
  <si>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</si>
  <si>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</si>
  <si>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</si>
  <si>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</si>
  <si>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</si>
  <si>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</si>
  <si>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</si>
  <si>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</si>
  <si>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</si>
  <si>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</si>
  <si>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</si>
  <si>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</si>
  <si>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</si>
  <si>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</si>
  <si>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</si>
  <si>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</si>
  <si>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</si>
  <si>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</si>
  <si>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</si>
  <si>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</si>
  <si>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</si>
  <si>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</si>
  <si>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</si>
  <si>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</si>
  <si>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</si>
  <si>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</si>
  <si>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</si>
  <si>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</si>
  <si>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</si>
  <si>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</si>
  <si>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</si>
  <si>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</si>
  <si>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</si>
  <si>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</si>
  <si>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</si>
  <si>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</si>
  <si>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</si>
  <si>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</si>
  <si>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</si>
  <si>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</si>
  <si>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</si>
  <si>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</si>
  <si>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</si>
  <si>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</si>
  <si>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</si>
  <si>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</si>
  <si>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</si>
  <si>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</si>
  <si>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</si>
  <si>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</si>
  <si>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</si>
  <si>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</si>
  <si>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</si>
  <si>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</si>
  <si>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</si>
  <si>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</si>
  <si>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</si>
  <si>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</si>
  <si>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</si>
  <si>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</si>
  <si>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</si>
  <si>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</si>
  <si>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</si>
  <si>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</si>
  <si>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</si>
  <si>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</si>
  <si>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</si>
  <si>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</si>
  <si>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</si>
  <si>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</si>
  <si>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</si>
  <si>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</si>
  <si>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</si>
  <si>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</si>
  <si>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</si>
  <si>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</si>
  <si>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</si>
  <si>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</si>
  <si>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</si>
  <si>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</si>
  <si>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</si>
  <si>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</si>
  <si>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</si>
  <si>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</si>
  <si>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</si>
  <si>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</si>
  <si>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</si>
  <si>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</si>
  <si>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</si>
  <si>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</si>
  <si>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</si>
  <si>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</si>
  <si>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</si>
  <si>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</si>
  <si>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</si>
  <si>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</si>
  <si>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</si>
  <si>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</si>
  <si>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</si>
  <si>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</si>
  <si>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</si>
  <si>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</si>
  <si>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</si>
  <si>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</si>
  <si>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</si>
  <si>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</si>
  <si>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</si>
  <si>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</si>
  <si>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</si>
  <si>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</si>
  <si>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</si>
  <si>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</si>
  <si>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</si>
  <si>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</si>
  <si>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</si>
  <si>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</si>
  <si>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</si>
  <si>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</si>
  <si>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</si>
  <si>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</si>
  <si>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</si>
  <si>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</si>
  <si>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</si>
  <si>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</si>
  <si>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</si>
  <si>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</si>
  <si>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</si>
  <si>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</si>
  <si>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</si>
  <si>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</si>
  <si>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</si>
  <si>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</si>
  <si>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</si>
  <si>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</si>
  <si>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</si>
  <si>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</si>
  <si>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</si>
  <si>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</si>
  <si>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</si>
  <si>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</si>
  <si>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</si>
  <si>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</si>
  <si>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</si>
  <si>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</si>
  <si>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</si>
  <si>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</si>
  <si>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</si>
  <si>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</si>
  <si>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</si>
  <si>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</si>
  <si>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</si>
  <si>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</si>
  <si>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</si>
  <si>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</si>
  <si>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</si>
  <si>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</si>
  <si>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</si>
  <si>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</si>
  <si>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</si>
  <si>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</si>
  <si>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</si>
  <si>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</si>
  <si>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</si>
  <si>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</si>
  <si>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</si>
  <si>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</si>
  <si>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</si>
  <si>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</si>
  <si>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</si>
  <si>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</si>
  <si>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</si>
  <si>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</si>
  <si>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</si>
  <si>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</si>
  <si>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</si>
  <si>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</si>
  <si>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</si>
  <si>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</si>
  <si>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</si>
  <si>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</si>
  <si>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</si>
  <si>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</si>
  <si>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</si>
  <si>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</si>
  <si>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</si>
  <si>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</si>
  <si>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</si>
  <si>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</si>
  <si>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</si>
  <si>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</si>
  <si>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</si>
  <si>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</si>
  <si>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</si>
  <si>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</si>
  <si>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</si>
  <si>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</si>
  <si>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</si>
  <si>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</si>
  <si>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</si>
  <si>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</si>
  <si>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</si>
  <si>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</si>
  <si>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</si>
  <si>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</si>
  <si>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</si>
  <si>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</si>
  <si>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</si>
  <si>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</si>
  <si>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</si>
  <si>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</si>
  <si>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</si>
  <si>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</si>
  <si>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</si>
  <si>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</si>
  <si>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</si>
  <si>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</si>
  <si>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</si>
  <si>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</si>
  <si>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</si>
  <si>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</si>
  <si>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</si>
  <si>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</si>
  <si>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</si>
  <si>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</si>
  <si>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</si>
  <si>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</si>
  <si>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</si>
  <si>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</si>
  <si>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</si>
  <si>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</si>
  <si>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</si>
  <si>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</si>
  <si>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</si>
  <si>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</si>
  <si>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</si>
  <si>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</si>
  <si>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</si>
  <si>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</si>
  <si>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</si>
  <si>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</si>
  <si>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</si>
  <si>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</si>
  <si>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</si>
  <si>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</si>
  <si>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</si>
  <si>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</si>
  <si>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</si>
  <si>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</si>
  <si>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</si>
  <si>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</si>
  <si>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</si>
  <si>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</si>
  <si>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</si>
  <si>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</si>
  <si>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</si>
  <si>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</si>
  <si>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</si>
  <si>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</si>
  <si>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</si>
  <si>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</si>
  <si>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</si>
  <si>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</si>
  <si>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</si>
  <si>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</si>
  <si>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</si>
  <si>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</si>
  <si>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</si>
  <si>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</si>
  <si>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</si>
  <si>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</si>
  <si>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</si>
  <si>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</si>
  <si>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</si>
  <si>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</si>
  <si>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</si>
  <si>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</si>
  <si>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</si>
  <si>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</si>
  <si>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</si>
  <si>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</si>
  <si>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</si>
  <si>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</si>
  <si>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</si>
  <si>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</si>
  <si>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</si>
  <si>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</si>
  <si>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</si>
  <si>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</si>
  <si>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</si>
  <si>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</si>
  <si>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</si>
  <si>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</si>
  <si>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</si>
  <si>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</si>
  <si>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</si>
  <si>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</si>
  <si>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</si>
  <si>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</si>
  <si>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</si>
  <si>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</si>
  <si>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</si>
  <si>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</si>
  <si>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</si>
  <si>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</si>
  <si>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</si>
  <si>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</si>
  <si>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</si>
  <si>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</si>
  <si>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</si>
  <si>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</si>
  <si>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</si>
  <si>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</si>
  <si>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</si>
  <si>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</si>
  <si>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</si>
  <si>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</si>
  <si>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</si>
  <si>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</si>
  <si>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</si>
  <si>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</si>
  <si>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</si>
  <si>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</si>
  <si>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</si>
  <si>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</si>
  <si>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</si>
  <si>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</si>
  <si>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</si>
  <si>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</si>
  <si>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</si>
  <si>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</si>
  <si>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</si>
  <si>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</si>
  <si>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</si>
  <si>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</si>
  <si>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</si>
  <si>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</si>
  <si>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</si>
  <si>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</si>
  <si>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</si>
  <si>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</si>
  <si>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</si>
  <si>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</si>
  <si>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</si>
  <si>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</si>
  <si>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</si>
  <si>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</si>
  <si>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</si>
  <si>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</si>
  <si>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</si>
  <si>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</si>
  <si>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</si>
  <si>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</si>
  <si>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</si>
  <si>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</si>
  <si>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</si>
  <si>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</si>
  <si>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</si>
  <si>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</si>
  <si>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</si>
  <si>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</si>
  <si>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</si>
  <si>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</si>
  <si>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</si>
  <si>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</si>
  <si>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</si>
  <si>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</si>
  <si>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</si>
  <si>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</si>
  <si>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</si>
  <si>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</si>
  <si>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</si>
  <si>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</si>
  <si>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</si>
  <si>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</si>
  <si>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</si>
  <si>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</si>
  <si>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</si>
  <si>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</si>
  <si>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</si>
  <si>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</si>
  <si>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</si>
  <si>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</si>
  <si>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</si>
  <si>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</si>
  <si>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</si>
  <si>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</si>
  <si>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</si>
  <si>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</si>
  <si>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</si>
  <si>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</si>
  <si>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</si>
  <si>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</si>
  <si>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</si>
  <si>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</si>
  <si>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</si>
  <si>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</si>
  <si>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</si>
  <si>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</si>
  <si>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</si>
  <si>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</si>
  <si>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</si>
  <si>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</si>
  <si>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</si>
  <si>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</si>
  <si>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</si>
  <si>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</si>
  <si>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</si>
  <si>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</si>
  <si>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</si>
  <si>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</si>
  <si>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</si>
  <si>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</si>
  <si>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</si>
  <si>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</si>
  <si>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</si>
  <si>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</si>
  <si>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</si>
  <si>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</si>
  <si>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</si>
  <si>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</si>
  <si>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</si>
  <si>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</si>
  <si>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</si>
  <si>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</si>
  <si>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</si>
  <si>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</si>
  <si>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</si>
  <si>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</si>
  <si>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</si>
  <si>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</si>
  <si>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</si>
  <si>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</si>
  <si>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</si>
  <si>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</si>
  <si>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</si>
  <si>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</si>
  <si>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</si>
  <si>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</si>
  <si>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</si>
  <si>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</si>
  <si>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</si>
  <si>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</si>
  <si>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</si>
  <si>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</si>
  <si>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</si>
  <si>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</si>
  <si>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</si>
  <si>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</si>
  <si>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</si>
  <si>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</si>
  <si>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</si>
  <si>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</si>
  <si>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</si>
  <si>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</si>
  <si>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</si>
  <si>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</si>
  <si>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</si>
  <si>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</si>
  <si>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</si>
  <si>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</si>
  <si>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</si>
  <si>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</si>
  <si>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</si>
  <si>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</si>
  <si>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</si>
  <si>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</si>
  <si>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</si>
  <si>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</si>
  <si>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</si>
  <si>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</si>
  <si>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</si>
  <si>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</si>
  <si>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</si>
  <si>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</si>
  <si>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</si>
  <si>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</si>
  <si>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</si>
  <si>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</si>
  <si>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</si>
  <si>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</si>
  <si>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</si>
  <si>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</si>
  <si>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</si>
  <si>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</si>
  <si>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</si>
  <si>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</si>
  <si>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</si>
  <si>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</si>
  <si>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</si>
  <si>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</si>
  <si>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</si>
  <si>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</si>
  <si>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</si>
  <si>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</si>
  <si>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</si>
  <si>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</si>
  <si>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</si>
  <si>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</si>
  <si>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</si>
  <si>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</si>
  <si>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</si>
  <si>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</si>
  <si>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</si>
  <si>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</si>
  <si>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</si>
  <si>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</si>
  <si>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</si>
  <si>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</si>
  <si>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</si>
  <si>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</si>
  <si>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</si>
  <si>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</si>
  <si>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</si>
  <si>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</si>
  <si>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</si>
  <si>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</si>
  <si>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</si>
  <si>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</si>
  <si>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</si>
  <si>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</si>
  <si>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</si>
  <si>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</si>
  <si>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</si>
  <si>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</si>
  <si>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</si>
  <si>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</si>
  <si>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</si>
  <si>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</si>
  <si>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</si>
  <si>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</si>
  <si>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</si>
  <si>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</si>
  <si>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</si>
  <si>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</si>
  <si>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</si>
  <si>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</si>
  <si>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</si>
  <si>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</si>
  <si>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</si>
  <si>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</si>
  <si>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</si>
  <si>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</si>
  <si>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</si>
  <si>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</si>
  <si>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</si>
  <si>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</si>
  <si>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</si>
  <si>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</si>
  <si>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</si>
  <si>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</si>
  <si>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</si>
  <si>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</si>
  <si>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</si>
  <si>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</si>
  <si>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</si>
  <si>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</si>
  <si>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</si>
  <si>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</si>
  <si>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</si>
  <si>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</si>
  <si>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</si>
  <si>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</si>
  <si>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</si>
  <si>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</si>
  <si>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</si>
  <si>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</si>
  <si>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</si>
  <si>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</si>
  <si>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</si>
  <si>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</si>
  <si>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</si>
  <si>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</si>
  <si>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</si>
  <si>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</si>
  <si>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</si>
  <si>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</si>
  <si>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</si>
  <si>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</si>
  <si>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</si>
  <si>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</si>
  <si>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</si>
  <si>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</si>
  <si>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</si>
  <si>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</si>
  <si>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</si>
  <si>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</si>
  <si>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</si>
  <si>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</si>
  <si>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</si>
  <si>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</si>
  <si>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</si>
  <si>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</si>
  <si>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</si>
  <si>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</si>
  <si>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</si>
  <si>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</si>
  <si>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</si>
  <si>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</si>
  <si>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</si>
  <si>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</si>
  <si>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</si>
  <si>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</si>
  <si>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</si>
  <si>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</si>
  <si>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</si>
  <si>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</si>
  <si>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</si>
  <si>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</si>
  <si>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</si>
  <si>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</si>
  <si>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</si>
  <si>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</si>
  <si>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</si>
  <si>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</si>
  <si>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</si>
  <si>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</si>
  <si>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</si>
  <si>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</si>
  <si>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</si>
  <si>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</si>
  <si>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</si>
  <si>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</si>
  <si>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</si>
  <si>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</si>
  <si>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</si>
  <si>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</si>
  <si>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</si>
  <si>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</si>
  <si>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</si>
  <si>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</si>
  <si>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</si>
  <si>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</si>
  <si>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</si>
  <si>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</si>
  <si>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</si>
  <si>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</si>
  <si>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</si>
  <si>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</si>
  <si>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</si>
  <si>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</si>
  <si>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</si>
  <si>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</si>
  <si>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</si>
  <si>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</si>
  <si>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</si>
  <si>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</si>
  <si>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</si>
  <si>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</si>
  <si>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</si>
  <si>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</si>
  <si>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</si>
  <si>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</si>
  <si>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</si>
  <si>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</si>
  <si>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</si>
  <si>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</si>
  <si>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</si>
  <si>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</si>
  <si>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</si>
  <si>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</si>
  <si>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</si>
  <si>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</si>
  <si>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</si>
  <si>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</si>
  <si>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</si>
  <si>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</si>
  <si>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</si>
  <si>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</si>
  <si>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</si>
  <si>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</si>
  <si>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</si>
  <si>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</si>
  <si>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</si>
  <si>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</si>
  <si>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</si>
  <si>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</si>
  <si>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</si>
  <si>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</si>
  <si>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</si>
  <si>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</si>
  <si>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</si>
  <si>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</si>
  <si>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</si>
  <si>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</si>
  <si>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</si>
  <si>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</si>
  <si>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</si>
  <si>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</si>
  <si>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</si>
  <si>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</si>
  <si>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</si>
  <si>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</si>
  <si>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</si>
  <si>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</si>
  <si>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</si>
  <si>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</si>
  <si>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</si>
  <si>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</si>
  <si>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</si>
  <si>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</si>
  <si>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</si>
  <si>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</si>
  <si>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</si>
  <si>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</si>
  <si>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</si>
  <si>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</si>
  <si>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</si>
  <si>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</si>
  <si>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</si>
  <si>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</si>
  <si>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</si>
  <si>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</si>
  <si>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</si>
  <si>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</si>
  <si>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</si>
  <si>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</si>
  <si>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</si>
  <si>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</si>
  <si>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</si>
  <si>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</si>
  <si>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</si>
  <si>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</si>
  <si>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</si>
  <si>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</si>
  <si>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</si>
  <si>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</si>
  <si>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</si>
  <si>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</si>
  <si>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</si>
  <si>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</si>
  <si>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</si>
  <si>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</si>
  <si>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</si>
  <si>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</si>
  <si>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</si>
  <si>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</si>
  <si>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</si>
  <si>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</si>
  <si>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</si>
  <si>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</si>
  <si>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</si>
  <si>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</si>
  <si>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</si>
  <si>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</si>
  <si>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</si>
  <si>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</si>
  <si>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</si>
  <si>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</si>
  <si>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</si>
  <si>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</si>
  <si>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</si>
  <si>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</si>
  <si>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</si>
  <si>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</si>
  <si>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</si>
  <si>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</si>
  <si>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</si>
  <si>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</si>
  <si>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</si>
  <si>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</si>
  <si>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</si>
  <si>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</si>
  <si>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</si>
  <si>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</si>
  <si>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</si>
  <si>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</si>
  <si>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</si>
  <si>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</si>
  <si>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</si>
  <si>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</si>
  <si>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</si>
  <si>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</si>
  <si>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</si>
  <si>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</si>
  <si>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</si>
  <si>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</si>
  <si>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</si>
  <si>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</si>
  <si>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</si>
  <si>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</si>
  <si>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</si>
  <si>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</si>
  <si>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</si>
  <si>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</si>
  <si>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</si>
  <si>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</si>
  <si>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</si>
  <si>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</si>
  <si>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</si>
  <si>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</si>
  <si>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</si>
  <si>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</si>
  <si>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</si>
  <si>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</si>
  <si>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</si>
  <si>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</si>
  <si>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</si>
  <si>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</si>
  <si>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</si>
  <si>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</si>
  <si>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</si>
  <si>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</si>
  <si>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</si>
  <si>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</si>
  <si>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</si>
  <si>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</si>
  <si>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</si>
  <si>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</si>
  <si>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</si>
  <si>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</si>
  <si>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</si>
  <si>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</si>
  <si>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</si>
  <si>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</si>
  <si>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</si>
  <si>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</si>
  <si>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</si>
  <si>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</si>
  <si>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</si>
  <si>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</si>
  <si>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</si>
  <si>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</si>
  <si>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</si>
  <si>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</si>
  <si>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</si>
  <si>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</si>
  <si>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</si>
  <si>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</si>
  <si>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</si>
  <si>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</si>
  <si>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</si>
  <si>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</si>
  <si>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</si>
  <si>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</si>
  <si>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</si>
  <si>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</si>
  <si>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</si>
  <si>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</si>
  <si>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</si>
  <si>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</si>
  <si>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</si>
  <si>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</si>
  <si>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</si>
  <si>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</si>
  <si>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</si>
  <si>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</si>
  <si>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</si>
  <si>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</si>
  <si>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</si>
  <si>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</si>
  <si>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</si>
  <si>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</si>
  <si>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</si>
  <si>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</si>
  <si>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</si>
  <si>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</si>
  <si>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</si>
  <si>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</si>
  <si>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</si>
  <si>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</si>
  <si>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</si>
  <si>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</si>
  <si>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</si>
  <si>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</si>
  <si>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</si>
  <si>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</si>
  <si>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</si>
  <si>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</si>
  <si>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</si>
  <si>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</si>
  <si>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</si>
  <si>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</si>
  <si>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</si>
  <si>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</si>
  <si>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</si>
  <si>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</si>
  <si>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</si>
  <si>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</si>
  <si>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</si>
  <si>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</si>
  <si>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</si>
  <si>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</si>
  <si>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</si>
  <si>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</si>
  <si>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</si>
  <si>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</si>
  <si>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</si>
  <si>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</si>
  <si>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</si>
  <si>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</si>
  <si>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</si>
  <si>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</si>
  <si>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</si>
  <si>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</si>
  <si>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</si>
  <si>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</si>
  <si>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</si>
  <si>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</si>
  <si>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</si>
  <si>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</si>
  <si>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</si>
  <si>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</si>
  <si>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</si>
  <si>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</si>
  <si>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</si>
  <si>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</si>
  <si>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</si>
  <si>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</si>
  <si>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</si>
  <si>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</si>
  <si>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</si>
  <si>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</si>
  <si>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</si>
  <si>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</si>
  <si>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</si>
  <si>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</si>
  <si>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</si>
  <si>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</si>
  <si>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</si>
  <si>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</si>
  <si>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</si>
  <si>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</si>
  <si>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</si>
  <si>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</si>
  <si>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</si>
  <si>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</si>
  <si>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</si>
  <si>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</si>
  <si>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</si>
  <si>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</si>
  <si>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</si>
  <si>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</si>
  <si>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</si>
  <si>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</si>
  <si>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</si>
  <si>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</si>
  <si>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</si>
  <si>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</si>
  <si>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</si>
  <si>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</si>
  <si>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</si>
  <si>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</si>
  <si>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</si>
  <si>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</si>
  <si>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</si>
  <si>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</si>
  <si>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</si>
  <si>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</si>
  <si>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</si>
  <si>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</si>
  <si>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</si>
  <si>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</si>
  <si>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</si>
  <si>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</si>
  <si>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</si>
  <si>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</si>
  <si>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</si>
  <si>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</si>
  <si>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</si>
  <si>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</si>
  <si>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</si>
  <si>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</si>
  <si>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</si>
  <si>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</si>
  <si>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</si>
  <si>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</si>
  <si>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</si>
  <si>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</si>
  <si>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</si>
  <si>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</si>
  <si>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</si>
  <si>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</si>
  <si>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</si>
  <si>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</si>
  <si>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</si>
  <si>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</si>
  <si>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</si>
  <si>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</si>
  <si>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</si>
  <si>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</si>
  <si>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</si>
  <si>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</si>
  <si>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</si>
  <si>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</si>
  <si>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</si>
  <si>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</si>
  <si>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</si>
  <si>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</si>
  <si>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</si>
  <si>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</si>
  <si>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</si>
  <si>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</si>
  <si>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</si>
  <si>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</si>
  <si>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</si>
  <si>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</si>
  <si>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</si>
  <si>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</si>
  <si>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</si>
  <si>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</si>
  <si>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</si>
  <si>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</si>
  <si>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</si>
  <si>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</si>
  <si>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</si>
  <si>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</si>
  <si>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</si>
  <si>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</si>
  <si>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</si>
  <si>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</si>
  <si>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</si>
  <si>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</si>
  <si>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</si>
  <si>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</si>
  <si>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</si>
  <si>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</si>
  <si>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</si>
  <si>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</si>
  <si>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</si>
  <si>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</si>
  <si>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</si>
  <si>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</si>
  <si>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</si>
  <si>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</si>
  <si>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</si>
  <si>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</si>
  <si>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</si>
  <si>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</si>
  <si>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</si>
  <si>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</si>
  <si>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</si>
  <si>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</si>
  <si>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</si>
  <si>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</si>
  <si>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</si>
  <si>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</si>
  <si>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</si>
  <si>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</si>
  <si>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</si>
  <si>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</si>
  <si>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</si>
  <si>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</si>
  <si>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</si>
  <si>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</si>
  <si>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</si>
  <si>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</si>
  <si>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</si>
  <si>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</si>
  <si>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</si>
  <si>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</si>
  <si>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</si>
  <si>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</si>
  <si>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</si>
  <si>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</si>
  <si>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</si>
  <si>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</si>
  <si>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</si>
  <si>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</si>
  <si>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</si>
  <si>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</si>
  <si>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</si>
  <si>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</si>
  <si>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</si>
  <si>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</si>
  <si>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</si>
  <si>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</si>
  <si>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</si>
  <si>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</si>
  <si>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</si>
  <si>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</si>
  <si>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</si>
  <si>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</si>
  <si>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</si>
  <si>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</si>
  <si>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</si>
  <si>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</si>
  <si>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</si>
  <si>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</si>
  <si>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</si>
  <si>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</si>
  <si>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</si>
  <si>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</si>
  <si>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</si>
  <si>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</si>
  <si>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</si>
  <si>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</si>
  <si>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</si>
  <si>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</si>
  <si>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</si>
  <si>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</si>
  <si>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</si>
  <si>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</si>
  <si>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</si>
  <si>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</si>
  <si>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</si>
  <si>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</si>
  <si>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</si>
  <si>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</si>
  <si>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</si>
  <si>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</si>
  <si>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</si>
  <si>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</si>
  <si>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</si>
  <si>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</si>
  <si>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</si>
  <si>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</si>
  <si>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</si>
  <si>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</si>
  <si>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</si>
  <si>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</si>
  <si>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</si>
  <si>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</si>
  <si>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</si>
  <si>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</si>
  <si>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</si>
  <si>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</si>
  <si>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</si>
  <si>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</si>
  <si>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</si>
  <si>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</si>
  <si>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</si>
  <si>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</si>
  <si>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</si>
  <si>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</si>
  <si>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</si>
  <si>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</si>
  <si>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</si>
  <si>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</si>
  <si>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</si>
  <si>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</si>
  <si>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</si>
  <si>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</si>
  <si>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</si>
  <si>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</si>
  <si>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</si>
  <si>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</si>
  <si>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</si>
  <si>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</si>
  <si>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</si>
  <si>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</si>
  <si>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</si>
  <si>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</si>
  <si>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</si>
  <si>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</si>
  <si>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</si>
  <si>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</si>
  <si>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</si>
  <si>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</si>
  <si>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</si>
  <si>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</si>
  <si>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</si>
  <si>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</si>
  <si>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</si>
  <si>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</si>
  <si>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</si>
  <si>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</si>
  <si>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</si>
  <si>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</si>
  <si>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</si>
  <si>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</si>
  <si>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</si>
  <si>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</si>
  <si>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</si>
  <si>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</si>
  <si>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</si>
  <si>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</si>
  <si>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</si>
  <si>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</si>
  <si>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</si>
  <si>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</si>
  <si>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</si>
  <si>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</si>
  <si>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</si>
  <si>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</si>
  <si>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</si>
  <si>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</si>
  <si>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</si>
  <si>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</si>
  <si>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</si>
  <si>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</si>
  <si>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</si>
  <si>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</si>
  <si>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</si>
  <si>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</si>
  <si>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</si>
  <si>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</si>
  <si>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</si>
  <si>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</si>
  <si>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</si>
  <si>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</si>
  <si>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</si>
  <si>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</si>
  <si>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</si>
  <si>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</si>
  <si>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</si>
  <si>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</si>
  <si>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</si>
  <si>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</si>
  <si>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</si>
  <si>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</si>
  <si>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</si>
  <si>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</si>
  <si>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</si>
  <si>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</si>
  <si>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</si>
  <si>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</si>
  <si>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</si>
  <si>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</si>
  <si>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</si>
  <si>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</si>
  <si>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</si>
  <si>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</si>
  <si>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</si>
  <si>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</si>
  <si>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</si>
  <si>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</si>
  <si>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</si>
  <si>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</si>
  <si>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</si>
  <si>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</si>
  <si>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</si>
  <si>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</si>
  <si>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</si>
  <si>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</si>
  <si>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</si>
  <si>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</si>
  <si>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</si>
  <si>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</si>
  <si>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</si>
  <si>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</si>
  <si>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</si>
  <si>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</si>
  <si>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</si>
  <si>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</si>
  <si>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</si>
  <si>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</si>
  <si>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</si>
  <si>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</si>
  <si>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</si>
  <si>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</si>
  <si>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</si>
  <si>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</si>
  <si>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</si>
  <si>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</si>
  <si>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</si>
  <si>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</si>
  <si>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</si>
  <si>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</si>
  <si>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</si>
  <si>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</si>
  <si>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</si>
  <si>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</si>
  <si>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</si>
  <si>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</si>
  <si>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</si>
  <si>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</si>
  <si>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</si>
  <si>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</si>
  <si>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</si>
  <si>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</si>
  <si>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</si>
  <si>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</si>
  <si>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</si>
  <si>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</si>
  <si>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</si>
  <si>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</si>
  <si>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</si>
  <si>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</si>
  <si>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</si>
  <si>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</si>
  <si>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</si>
  <si>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</si>
  <si>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</si>
  <si>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</si>
  <si>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</si>
  <si>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</si>
  <si>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</si>
  <si>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</si>
  <si>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</si>
  <si>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</si>
  <si>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</si>
  <si>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</si>
  <si>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</si>
  <si>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</si>
  <si>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</si>
  <si>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</si>
  <si>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</si>
  <si>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</si>
  <si>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</si>
  <si>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</si>
  <si>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</si>
  <si>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</si>
  <si>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</si>
  <si>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</si>
  <si>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</si>
  <si>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</si>
  <si>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</si>
  <si>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</si>
  <si>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</si>
  <si>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</si>
  <si>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</si>
  <si>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</si>
  <si>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</si>
  <si>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</si>
  <si>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</si>
  <si>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</si>
  <si>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</si>
  <si>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</si>
  <si>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</si>
  <si>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</si>
  <si>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</si>
  <si>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</si>
  <si>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</si>
  <si>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</si>
  <si>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</si>
  <si>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</si>
  <si>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</si>
  <si>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</si>
  <si>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</si>
  <si>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</si>
  <si>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</si>
  <si>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</si>
  <si>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</si>
  <si>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</si>
  <si>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</si>
  <si>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</si>
  <si>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</si>
  <si>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</si>
  <si>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</si>
  <si>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</si>
  <si>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</si>
  <si>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</si>
  <si>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</si>
  <si>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</si>
  <si>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</si>
  <si>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</si>
  <si>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</si>
  <si>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</si>
  <si>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</si>
  <si>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</si>
  <si>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</si>
  <si>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</si>
  <si>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</si>
  <si>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</si>
  <si>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</si>
  <si>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</si>
  <si>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</si>
  <si>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</si>
  <si>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</si>
  <si>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</si>
  <si>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</si>
  <si>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</si>
  <si>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</si>
  <si>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</si>
  <si>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</si>
  <si>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</si>
  <si>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</si>
  <si>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</si>
  <si>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</si>
  <si>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</si>
  <si>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</si>
  <si>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</si>
  <si>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</si>
  <si>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</si>
  <si>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</si>
  <si>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</si>
  <si>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</si>
  <si>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</si>
  <si>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</si>
  <si>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</si>
  <si>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</si>
  <si>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</si>
  <si>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</si>
  <si>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</si>
  <si>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</si>
  <si>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</si>
  <si>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</si>
  <si>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</si>
  <si>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</si>
  <si>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</si>
  <si>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</si>
  <si>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</si>
  <si>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</si>
  <si>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</si>
  <si>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</si>
  <si>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</si>
  <si>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</si>
  <si>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</si>
  <si>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</si>
  <si>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</si>
  <si>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</si>
  <si>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</si>
  <si>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</si>
  <si>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</si>
  <si>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</si>
  <si>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</si>
  <si>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</si>
  <si>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</si>
  <si>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</si>
  <si>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</si>
  <si>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</si>
  <si>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</si>
  <si>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</si>
  <si>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</si>
  <si>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</si>
  <si>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</si>
  <si>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</si>
  <si>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</si>
  <si>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</si>
  <si>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</si>
  <si>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</si>
  <si>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</si>
  <si>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</si>
  <si>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</si>
  <si>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</si>
  <si>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</si>
  <si>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</si>
  <si>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</si>
  <si>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</si>
  <si>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</si>
  <si>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</si>
  <si>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</si>
  <si>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</si>
  <si>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</si>
  <si>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</si>
  <si>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</si>
  <si>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</si>
  <si>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</si>
  <si>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</si>
  <si>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</si>
  <si>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</si>
  <si>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</si>
  <si>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</si>
  <si>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</si>
  <si>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</si>
  <si>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</si>
  <si>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</si>
  <si>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</si>
  <si>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</si>
  <si>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</si>
  <si>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</si>
  <si>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</si>
  <si>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</si>
  <si>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</si>
  <si>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</si>
  <si>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</si>
  <si>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</si>
  <si>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</si>
  <si>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</si>
  <si>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</si>
  <si>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</si>
  <si>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</si>
  <si>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</si>
  <si>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</si>
  <si>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</si>
  <si>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</si>
  <si>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</si>
  <si>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</si>
  <si>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</si>
  <si>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</si>
  <si>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</si>
  <si>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</si>
  <si>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</si>
  <si>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</si>
  <si>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</si>
  <si>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</si>
  <si>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</si>
  <si>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</si>
  <si>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</si>
  <si>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</si>
  <si>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</si>
  <si>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</si>
  <si>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</si>
  <si>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</si>
  <si>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</si>
  <si>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</si>
  <si>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</si>
  <si>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</si>
  <si>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</si>
  <si>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</si>
  <si>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</si>
  <si>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</si>
  <si>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</si>
  <si>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</si>
  <si>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</si>
  <si>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</si>
  <si>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</si>
  <si>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</si>
  <si>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</si>
  <si>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</si>
  <si>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</si>
  <si>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</si>
  <si>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</si>
  <si>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</si>
  <si>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</si>
  <si>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</si>
  <si>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</si>
  <si>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</si>
  <si>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</si>
  <si>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</si>
  <si>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</si>
  <si>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</si>
  <si>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</si>
  <si>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</si>
  <si>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</si>
  <si>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</si>
  <si>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</si>
  <si>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</si>
  <si>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</si>
  <si>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</si>
  <si>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</si>
  <si>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</si>
  <si>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</si>
  <si>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</si>
  <si>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</si>
  <si>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</si>
  <si>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</si>
  <si>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</si>
  <si>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</si>
  <si>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</si>
  <si>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</si>
  <si>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</si>
  <si>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</si>
  <si>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</si>
  <si>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</si>
  <si>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</si>
  <si>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</si>
  <si>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</si>
  <si>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</si>
  <si>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</si>
  <si>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</si>
  <si>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</si>
  <si>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</si>
  <si>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</si>
  <si>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</si>
  <si>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</si>
  <si>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</si>
  <si>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</si>
  <si>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</si>
  <si>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</si>
  <si>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</si>
  <si>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</si>
  <si>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</si>
  <si>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</si>
  <si>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</si>
  <si>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</si>
  <si>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</si>
  <si>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</si>
  <si>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</si>
  <si>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</si>
  <si>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</si>
  <si>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</si>
  <si>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</si>
  <si>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</si>
  <si>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</si>
  <si>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</si>
  <si>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</si>
  <si>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</si>
  <si>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</si>
  <si>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</si>
  <si>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</si>
  <si>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</si>
  <si>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</si>
  <si>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</si>
  <si>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</si>
  <si>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</si>
  <si>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</si>
  <si>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</si>
  <si>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</si>
  <si>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</si>
  <si>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</si>
  <si>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</si>
  <si>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</si>
  <si>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</si>
  <si>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</si>
  <si>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</si>
  <si>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</si>
  <si>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</si>
  <si>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</si>
  <si>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</si>
  <si>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</si>
  <si>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</si>
  <si>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</si>
  <si>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</si>
  <si>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</si>
  <si>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</si>
  <si>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</si>
  <si>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</si>
  <si>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</si>
  <si>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</si>
  <si>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</si>
  <si>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</si>
  <si>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</si>
  <si>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</si>
  <si>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</si>
  <si>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</si>
  <si>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</si>
  <si>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</si>
  <si>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</si>
  <si>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</si>
  <si>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</si>
  <si>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</si>
  <si>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</si>
  <si>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</si>
  <si>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</si>
  <si>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</si>
  <si>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</si>
  <si>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</si>
  <si>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</si>
  <si>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</si>
  <si>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</si>
  <si>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</si>
  <si>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</si>
  <si>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</si>
  <si>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</si>
  <si>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</si>
  <si>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</si>
  <si>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</si>
  <si>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</si>
  <si>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</si>
  <si>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</si>
  <si>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</si>
  <si>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</si>
  <si>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</si>
  <si>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</si>
  <si>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</si>
  <si>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</si>
  <si>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</si>
  <si>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</si>
  <si>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</si>
  <si>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</si>
  <si>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</si>
  <si>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</si>
  <si>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</si>
  <si>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</si>
  <si>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</si>
  <si>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</si>
  <si>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</si>
  <si>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</si>
  <si>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</si>
  <si>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</si>
  <si>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</si>
  <si>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</si>
  <si>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</si>
  <si>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</si>
  <si>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</si>
  <si>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</si>
  <si>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</si>
  <si>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</si>
  <si>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</si>
  <si>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</si>
  <si>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</si>
  <si>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</si>
  <si>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</si>
  <si>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</si>
  <si>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</si>
  <si>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</si>
  <si>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</si>
  <si>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</si>
  <si>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</si>
  <si>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</si>
  <si>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</si>
  <si>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</si>
  <si>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</si>
  <si>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</si>
  <si>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</si>
  <si>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</si>
  <si>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</si>
  <si>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</si>
  <si>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</si>
  <si>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</si>
  <si>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</si>
  <si>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</si>
  <si>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</si>
  <si>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</si>
  <si>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</si>
  <si>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</si>
  <si>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</si>
  <si>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</si>
  <si>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</si>
  <si>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</si>
  <si>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</si>
  <si>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</si>
  <si>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</si>
  <si>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</si>
  <si>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</si>
  <si>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</si>
  <si>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</si>
  <si>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</si>
  <si>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</si>
  <si>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</si>
  <si>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</si>
  <si>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</si>
  <si>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</si>
  <si>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</si>
  <si>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</si>
  <si>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</si>
  <si>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</si>
  <si>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</si>
  <si>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</si>
  <si>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</si>
  <si>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</si>
  <si>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</si>
  <si>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</si>
  <si>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</si>
  <si>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</si>
  <si>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</si>
  <si>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</si>
  <si>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</si>
  <si>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</si>
  <si>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</si>
  <si>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</si>
  <si>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</si>
  <si>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</si>
  <si>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</si>
  <si>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</si>
  <si>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</si>
  <si>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</si>
  <si>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</si>
  <si>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</si>
  <si>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</si>
  <si>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</si>
  <si>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</si>
  <si>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</si>
  <si>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</si>
  <si>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</si>
  <si>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</si>
  <si>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</si>
  <si>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</si>
  <si>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</si>
  <si>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</si>
  <si>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</si>
  <si>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</si>
  <si>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</si>
  <si>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</si>
  <si>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</si>
  <si>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</si>
  <si>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</si>
  <si>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</si>
  <si>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</si>
  <si>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</si>
  <si>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</si>
  <si>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</si>
  <si>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</si>
  <si>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</si>
  <si>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</si>
  <si>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</si>
  <si>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</si>
  <si>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</si>
  <si>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</si>
  <si>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</si>
  <si>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</si>
  <si>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</si>
  <si>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</si>
  <si>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</si>
  <si>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</si>
  <si>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</si>
  <si>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</si>
  <si>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</si>
  <si>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</si>
  <si>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</si>
  <si>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</si>
  <si>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</si>
  <si>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</si>
  <si>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</si>
  <si>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</si>
  <si>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</si>
  <si>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</si>
  <si>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</si>
  <si>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</si>
  <si>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</si>
  <si>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</si>
  <si>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</si>
  <si>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</si>
  <si>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</si>
  <si>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</si>
  <si>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</si>
  <si>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</si>
  <si>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</si>
  <si>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</si>
  <si>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</si>
  <si>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</si>
  <si>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</si>
  <si>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</si>
  <si>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</si>
  <si>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</si>
  <si>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</si>
  <si>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</si>
  <si>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</si>
  <si>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</si>
  <si>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</si>
  <si>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</si>
  <si>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</si>
  <si>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</si>
  <si>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</si>
  <si>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</si>
  <si>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</si>
  <si>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</si>
  <si>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</si>
  <si>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</si>
  <si>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</si>
  <si>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</si>
  <si>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</si>
  <si>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</si>
  <si>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</si>
  <si>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</si>
  <si>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</si>
  <si>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</si>
  <si>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</si>
  <si>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</si>
  <si>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</si>
  <si>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</si>
  <si>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</si>
  <si>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</si>
  <si>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</si>
  <si>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</si>
  <si>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</si>
  <si>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</si>
  <si>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</si>
  <si>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</si>
  <si>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</si>
  <si>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</si>
  <si>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</si>
  <si>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</si>
  <si>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</si>
  <si>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</si>
  <si>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</si>
  <si>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</si>
  <si>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</si>
  <si>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</si>
  <si>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</si>
  <si>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</si>
  <si>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</si>
  <si>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</si>
  <si>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</si>
  <si>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</si>
  <si>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</si>
  <si>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</si>
  <si>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</si>
  <si>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</si>
  <si>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</si>
  <si>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</si>
  <si>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</si>
  <si>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</si>
  <si>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</si>
  <si>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</si>
  <si>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</si>
  <si>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</si>
  <si>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</si>
  <si>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</si>
  <si>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</si>
  <si>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</si>
  <si>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</si>
  <si>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</si>
  <si>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</si>
  <si>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</si>
  <si>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</si>
  <si>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</si>
  <si>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</si>
  <si>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</si>
  <si>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</si>
  <si>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</si>
  <si>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</si>
  <si>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</si>
  <si>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</si>
  <si>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</si>
  <si>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</si>
  <si>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</si>
  <si>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</si>
  <si>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</si>
  <si>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</si>
  <si>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</si>
  <si>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</si>
  <si>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</si>
  <si>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</si>
  <si>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</si>
  <si>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</si>
  <si>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</si>
  <si>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</si>
  <si>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</si>
  <si>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</si>
  <si>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</si>
  <si>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</si>
  <si>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</si>
  <si>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</si>
  <si>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</si>
  <si>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</si>
  <si>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</si>
  <si>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</si>
  <si>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</si>
  <si>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</si>
  <si>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</si>
  <si>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</si>
  <si>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</si>
  <si>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</si>
  <si>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</si>
  <si>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</si>
  <si>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</si>
  <si>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</si>
  <si>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</si>
  <si>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</si>
  <si>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</si>
  <si>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</si>
  <si>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</si>
  <si>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</si>
  <si>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</si>
  <si>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</si>
  <si>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</si>
  <si>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</si>
  <si>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</si>
  <si>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</si>
  <si>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</si>
  <si>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</si>
  <si>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</si>
  <si>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</si>
  <si>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</si>
  <si>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</si>
  <si>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</si>
  <si>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</si>
  <si>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</si>
  <si>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</si>
  <si>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</si>
  <si>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</si>
  <si>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</si>
  <si>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</si>
  <si>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</si>
  <si>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</si>
  <si>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</si>
  <si>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</si>
  <si>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</si>
  <si>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</si>
  <si>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</si>
  <si>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</si>
  <si>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</si>
  <si>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</si>
  <si>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</si>
  <si>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</si>
  <si>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</si>
  <si>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</si>
  <si>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</si>
  <si>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</si>
  <si>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</si>
  <si>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</si>
  <si>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</si>
  <si>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</si>
  <si>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</si>
  <si>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</si>
  <si>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</si>
  <si>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</si>
  <si>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</si>
  <si>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</si>
  <si>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</si>
  <si>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</si>
  <si>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</si>
  <si>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</si>
  <si>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</si>
  <si>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</si>
  <si>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</si>
  <si>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</si>
  <si>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</si>
  <si>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</si>
  <si>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</si>
  <si>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</si>
  <si>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</si>
  <si>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</si>
  <si>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</si>
  <si>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</si>
  <si>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</si>
  <si>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</si>
  <si>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</si>
  <si>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</si>
  <si>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</si>
  <si>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</si>
  <si>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</si>
  <si>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</si>
  <si>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</si>
  <si>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</si>
  <si>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</si>
  <si>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</si>
  <si>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</si>
  <si>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</si>
  <si>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</si>
  <si>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</si>
  <si>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</si>
  <si>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</si>
  <si>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</si>
  <si>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</si>
  <si>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</si>
  <si>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</si>
  <si>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</si>
  <si>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</si>
  <si>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</si>
  <si>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</si>
  <si>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</si>
  <si>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</si>
  <si>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</si>
  <si>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</si>
  <si>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</si>
  <si>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</si>
  <si>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</si>
  <si>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</si>
  <si>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</si>
  <si>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</si>
  <si>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</si>
  <si>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</si>
  <si>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</si>
  <si>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</si>
  <si>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</si>
  <si>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</si>
  <si>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</si>
  <si>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</si>
  <si>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</si>
  <si>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</si>
  <si>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</si>
  <si>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</si>
  <si>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</si>
  <si>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</si>
  <si>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</si>
  <si>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</si>
  <si>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</si>
  <si>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</si>
  <si>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</si>
  <si>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</si>
  <si>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</si>
  <si>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</si>
  <si>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</si>
  <si>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</si>
  <si>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</si>
  <si>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</si>
  <si>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</si>
  <si>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</si>
  <si>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</si>
  <si>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</si>
  <si>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</si>
  <si>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</si>
  <si>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</si>
  <si>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</si>
  <si>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</si>
  <si>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</si>
  <si>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</si>
  <si>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</si>
  <si>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</si>
  <si>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</si>
  <si>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</si>
  <si>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</si>
  <si>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</si>
  <si>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</si>
  <si>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</si>
  <si>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</si>
  <si>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</si>
  <si>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</si>
  <si>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</si>
  <si>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</si>
  <si>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</si>
  <si>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</si>
  <si>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</si>
  <si>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</si>
  <si>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</si>
  <si>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</si>
  <si>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</si>
  <si>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</si>
  <si>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</si>
  <si>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</si>
  <si>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</si>
  <si>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</si>
  <si>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</si>
  <si>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</si>
  <si>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</si>
  <si>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</si>
  <si>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</si>
  <si>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</si>
  <si>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</si>
  <si>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</si>
  <si>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</si>
  <si>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</si>
  <si>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</si>
  <si>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</si>
  <si>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</si>
  <si>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</si>
  <si>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</si>
  <si>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</si>
  <si>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</si>
  <si>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</si>
  <si>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</si>
  <si>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</si>
  <si>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</si>
  <si>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</si>
  <si>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</si>
  <si>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</si>
  <si>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</si>
  <si>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</si>
  <si>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</si>
  <si>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</si>
  <si>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</si>
  <si>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</si>
  <si>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</si>
  <si>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</si>
  <si>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</si>
  <si>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</si>
  <si>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</si>
  <si>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</si>
  <si>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</si>
  <si>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</si>
  <si>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</si>
  <si>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</si>
  <si>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</si>
  <si>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</si>
  <si>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</si>
  <si>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</si>
  <si>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</si>
  <si>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</si>
  <si>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</si>
  <si>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</si>
  <si>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</si>
  <si>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</si>
  <si>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</si>
  <si>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</si>
  <si>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</si>
  <si>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</si>
  <si>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</si>
  <si>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</si>
  <si>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</si>
  <si>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</si>
  <si>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</si>
  <si>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</si>
  <si>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</si>
  <si>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</si>
  <si>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</si>
  <si>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</si>
  <si>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</si>
  <si>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</si>
  <si>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</si>
  <si>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</si>
  <si>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</si>
  <si>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</si>
  <si>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</si>
  <si>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</si>
  <si>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</si>
  <si>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</si>
  <si>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</si>
  <si>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</si>
  <si>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</si>
  <si>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</si>
  <si>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</si>
  <si>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</si>
  <si>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</si>
  <si>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</si>
  <si>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</si>
  <si>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</si>
  <si>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</si>
  <si>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</si>
  <si>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</si>
  <si>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Cornell Dubilier Electronics, a Division of Knowles Corporation</t>
  </si>
  <si>
    <t>Declaration applicable to the Cornell Dubilier companies and brands Cornell Dubilier Marketing, Cornell Dubilier Electronics, CD Snow Hill (previously NWL capacitor division), CD Aero (previously Aerovox capacitor division), Mallory branded capacitors, Illinois Capacitor branded capacitors</t>
  </si>
  <si>
    <t>002148989</t>
  </si>
  <si>
    <t>DUNS</t>
  </si>
  <si>
    <t>140 Technology Place, Liberty, SC, 29642 USA</t>
  </si>
  <si>
    <t>Stephen Smith</t>
  </si>
  <si>
    <t>compliance@cde.com</t>
  </si>
  <si>
    <t>+1-864-843-2277</t>
  </si>
  <si>
    <t>Corporate Compliance Officer</t>
  </si>
  <si>
    <t>RJD Series ONLY</t>
  </si>
  <si>
    <t>100%</t>
  </si>
  <si>
    <t>https://www.cde.com/why-cde/compliance/</t>
  </si>
  <si>
    <t>Via Knowles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</si>
</sst>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2389278</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de.com/why-cde/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4"/>
  <cols>
    <col min="1" max="1" width="0.8203125" customWidth="1"/>
    <col min="2" max="2" width="8" customWidth="1"/>
    <col min="3" max="3" width="8.5859375" customWidth="1"/>
    <col min="4" max="4" width="13" style="180" customWidth="1"/>
    <col min="5" max="5" width="42.3515625" customWidth="1"/>
    <col min="6" max="6" width="53.3515625" customWidth="1"/>
    <col min="7" max="7" width="0.8203125" customWidth="1"/>
  </cols>
  <sheetData>
    <row r="1" spans="1:7" ht="12.7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2.75">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25">
      <c r="A13" s="302"/>
      <c r="B13" s="2">
        <v>1</v>
      </c>
      <c r="C13" s="27" t="s">
        <v>1078</v>
      </c>
      <c r="D13" s="28" t="s">
        <v>866</v>
      </c>
      <c r="E13" s="163" t="s">
        <v>843</v>
      </c>
      <c r="F13" s="163"/>
      <c r="G13" s="25"/>
    </row>
    <row r="14" spans="1:7" ht="30.4">
      <c r="A14" s="302"/>
      <c r="B14" s="2">
        <v>2</v>
      </c>
      <c r="C14" s="27" t="s">
        <v>1078</v>
      </c>
      <c r="D14" s="28" t="s">
        <v>1015</v>
      </c>
      <c r="E14" s="163" t="s">
        <v>526</v>
      </c>
      <c r="F14" s="163" t="s">
        <v>527</v>
      </c>
      <c r="G14" s="25"/>
    </row>
    <row r="15" spans="1:7" ht="89.2"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2"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2"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45"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2" customHeight="1">
      <c r="A34" s="302"/>
      <c r="B34" s="315"/>
      <c r="C34" s="309"/>
      <c r="D34" s="312"/>
      <c r="E34" s="300"/>
      <c r="F34" s="165" t="s">
        <v>64</v>
      </c>
      <c r="G34" s="25"/>
    </row>
    <row r="35" spans="1:7" ht="29.2" customHeight="1">
      <c r="A35" s="302"/>
      <c r="B35" s="315"/>
      <c r="C35" s="309"/>
      <c r="D35" s="312"/>
      <c r="E35" s="300"/>
      <c r="F35" s="165" t="s">
        <v>65</v>
      </c>
      <c r="G35" s="25"/>
    </row>
    <row r="36" spans="1:7" ht="107.65">
      <c r="A36" s="302"/>
      <c r="B36" s="316"/>
      <c r="C36" s="310"/>
      <c r="D36" s="313"/>
      <c r="E36" s="301"/>
      <c r="F36" s="166" t="s">
        <v>66</v>
      </c>
      <c r="G36" s="25"/>
    </row>
    <row r="37" spans="1:7" ht="101.25">
      <c r="A37" s="302"/>
      <c r="B37" s="141">
        <v>3.01</v>
      </c>
      <c r="C37" s="142" t="s">
        <v>67</v>
      </c>
      <c r="D37" s="28" t="s">
        <v>2234</v>
      </c>
      <c r="E37" s="167" t="s">
        <v>1316</v>
      </c>
      <c r="F37" s="168" t="s">
        <v>1420</v>
      </c>
      <c r="G37" s="25"/>
    </row>
    <row r="38" spans="1:7" ht="81">
      <c r="A38" s="302"/>
      <c r="B38" s="141">
        <v>3.02</v>
      </c>
      <c r="C38" s="142" t="s">
        <v>1349</v>
      </c>
      <c r="D38" s="28" t="s">
        <v>2235</v>
      </c>
      <c r="E38" s="167" t="s">
        <v>1364</v>
      </c>
      <c r="F38" s="168" t="s">
        <v>1421</v>
      </c>
      <c r="G38" s="25"/>
    </row>
    <row r="39" spans="1:7" ht="81">
      <c r="A39" s="302"/>
      <c r="B39" s="150">
        <v>4</v>
      </c>
      <c r="C39" s="149" t="s">
        <v>1517</v>
      </c>
      <c r="D39" s="28" t="s">
        <v>2236</v>
      </c>
      <c r="E39" s="27" t="s">
        <v>2182</v>
      </c>
      <c r="F39" s="27" t="s">
        <v>1518</v>
      </c>
      <c r="G39" s="25"/>
    </row>
    <row r="40" spans="1:7" ht="40.5">
      <c r="A40" s="302"/>
      <c r="B40" s="141">
        <v>4.01</v>
      </c>
      <c r="C40" s="149" t="s">
        <v>1517</v>
      </c>
      <c r="D40" s="28" t="s">
        <v>2238</v>
      </c>
      <c r="E40" s="27" t="s">
        <v>2194</v>
      </c>
      <c r="F40" s="27" t="s">
        <v>2198</v>
      </c>
      <c r="G40" s="25"/>
    </row>
    <row r="41" spans="1:7" ht="40.5">
      <c r="A41" s="302"/>
      <c r="B41" s="141" t="s">
        <v>2225</v>
      </c>
      <c r="C41" s="149" t="s">
        <v>1517</v>
      </c>
      <c r="D41" s="28" t="s">
        <v>2237</v>
      </c>
      <c r="E41" s="27" t="s">
        <v>2228</v>
      </c>
      <c r="F41" s="27" t="s">
        <v>2226</v>
      </c>
      <c r="G41" s="25"/>
    </row>
    <row r="42" spans="1:7" ht="40.5">
      <c r="A42" s="302"/>
      <c r="B42" s="141" t="s">
        <v>2259</v>
      </c>
      <c r="C42" s="149" t="s">
        <v>1517</v>
      </c>
      <c r="D42" s="28" t="s">
        <v>2264</v>
      </c>
      <c r="E42" s="27" t="s">
        <v>2227</v>
      </c>
      <c r="F42" s="27" t="s">
        <v>2260</v>
      </c>
      <c r="G42" s="25"/>
    </row>
    <row r="43" spans="1:7" ht="111.4">
      <c r="A43" s="302"/>
      <c r="B43" s="160">
        <v>4.0999999999999996</v>
      </c>
      <c r="C43" s="149" t="s">
        <v>2263</v>
      </c>
      <c r="D43" s="161">
        <v>42867</v>
      </c>
      <c r="E43" s="169" t="s">
        <v>2266</v>
      </c>
      <c r="F43" s="27" t="s">
        <v>2265</v>
      </c>
      <c r="G43" s="25"/>
    </row>
    <row r="44" spans="1:7" ht="70.900000000000006">
      <c r="A44" s="302"/>
      <c r="B44" s="160">
        <v>4.2</v>
      </c>
      <c r="C44" s="149" t="s">
        <v>2263</v>
      </c>
      <c r="D44" s="161">
        <v>42704</v>
      </c>
      <c r="E44" s="169" t="s">
        <v>2462</v>
      </c>
      <c r="F44" s="27" t="s">
        <v>2437</v>
      </c>
      <c r="G44" s="25"/>
    </row>
    <row r="45" spans="1:7" ht="131.65">
      <c r="A45" s="302"/>
      <c r="B45" s="202">
        <v>5</v>
      </c>
      <c r="C45" s="149" t="s">
        <v>2263</v>
      </c>
      <c r="D45" s="161">
        <v>42867</v>
      </c>
      <c r="E45" s="169" t="s">
        <v>12683</v>
      </c>
      <c r="F45" s="27" t="s">
        <v>12405</v>
      </c>
      <c r="G45" s="25"/>
    </row>
    <row r="46" spans="1:7" ht="30.4">
      <c r="A46" s="302"/>
      <c r="B46" s="160">
        <v>5.01</v>
      </c>
      <c r="C46" s="149" t="s">
        <v>2263</v>
      </c>
      <c r="D46" s="161">
        <v>42907</v>
      </c>
      <c r="E46" s="169" t="s">
        <v>15484</v>
      </c>
      <c r="F46" s="27" t="s">
        <v>12405</v>
      </c>
      <c r="G46" s="25"/>
    </row>
    <row r="47" spans="1:7" ht="60.75">
      <c r="A47" s="302"/>
      <c r="B47" s="160">
        <v>5.0999999999999996</v>
      </c>
      <c r="C47" s="149" t="s">
        <v>2263</v>
      </c>
      <c r="D47" s="161">
        <v>43070</v>
      </c>
      <c r="E47" s="169" t="s">
        <v>12893</v>
      </c>
      <c r="F47" s="27" t="s">
        <v>12894</v>
      </c>
      <c r="G47" s="25"/>
    </row>
    <row r="48" spans="1:7" ht="50.65">
      <c r="A48" s="302"/>
      <c r="B48" s="160">
        <v>5.1100000000000003</v>
      </c>
      <c r="C48" s="149" t="s">
        <v>13129</v>
      </c>
      <c r="D48" s="161">
        <v>43217</v>
      </c>
      <c r="E48" s="169" t="s">
        <v>13255</v>
      </c>
      <c r="F48" s="27" t="s">
        <v>13163</v>
      </c>
      <c r="G48" s="25"/>
    </row>
    <row r="49" spans="1:7" ht="50.65">
      <c r="A49" s="302"/>
      <c r="B49" s="160">
        <v>5.12</v>
      </c>
      <c r="C49" s="149" t="s">
        <v>13129</v>
      </c>
      <c r="D49" s="161">
        <v>43581</v>
      </c>
      <c r="E49" s="169" t="s">
        <v>13255</v>
      </c>
      <c r="F49" s="27" t="s">
        <v>13807</v>
      </c>
      <c r="G49" s="25"/>
    </row>
    <row r="50" spans="1:7" ht="70.900000000000006">
      <c r="A50" s="302"/>
      <c r="B50" s="202">
        <v>6</v>
      </c>
      <c r="C50" s="149" t="s">
        <v>13129</v>
      </c>
      <c r="D50" s="161">
        <v>43964</v>
      </c>
      <c r="E50" s="169" t="s">
        <v>14020</v>
      </c>
      <c r="F50" s="27" t="s">
        <v>13810</v>
      </c>
      <c r="G50" s="25"/>
    </row>
    <row r="51" spans="1:7" ht="40.5">
      <c r="A51" s="302"/>
      <c r="B51" s="160">
        <v>6.01</v>
      </c>
      <c r="C51" s="149" t="s">
        <v>13129</v>
      </c>
      <c r="D51" s="161">
        <v>43970</v>
      </c>
      <c r="E51" s="169" t="s">
        <v>15485</v>
      </c>
      <c r="F51" s="169" t="s">
        <v>13810</v>
      </c>
      <c r="G51" s="25"/>
    </row>
    <row r="52" spans="1:7" ht="40.5">
      <c r="A52" s="302"/>
      <c r="B52" s="160">
        <v>6.1</v>
      </c>
      <c r="C52" s="149" t="s">
        <v>13129</v>
      </c>
      <c r="D52" s="161">
        <v>44314</v>
      </c>
      <c r="E52" s="169" t="s">
        <v>15477</v>
      </c>
      <c r="F52" s="169" t="s">
        <v>15015</v>
      </c>
      <c r="G52" s="25"/>
    </row>
    <row r="53" spans="1:7" ht="40.5">
      <c r="A53" s="302"/>
      <c r="B53" s="160">
        <v>6.2</v>
      </c>
      <c r="C53" s="149" t="s">
        <v>13129</v>
      </c>
      <c r="D53" s="161">
        <v>44678</v>
      </c>
      <c r="E53" s="169" t="s">
        <v>15477</v>
      </c>
      <c r="F53" s="169" t="s">
        <v>15476</v>
      </c>
      <c r="G53" s="25"/>
    </row>
    <row r="54" spans="1:7" ht="40.5">
      <c r="A54" s="302"/>
      <c r="B54" s="160">
        <v>6.21</v>
      </c>
      <c r="C54" s="149" t="s">
        <v>13129</v>
      </c>
      <c r="D54" s="161">
        <v>44687</v>
      </c>
      <c r="E54" s="169" t="s">
        <v>15486</v>
      </c>
      <c r="F54" s="169" t="s">
        <v>15476</v>
      </c>
      <c r="G54" s="25"/>
    </row>
    <row r="55" spans="1:7" ht="40.5">
      <c r="A55" s="302"/>
      <c r="B55" s="160">
        <v>6.22</v>
      </c>
      <c r="C55" s="149" t="s">
        <v>13129</v>
      </c>
      <c r="D55" s="275">
        <v>44692</v>
      </c>
      <c r="E55" s="169" t="s">
        <v>15485</v>
      </c>
      <c r="F55" s="169" t="s">
        <v>15476</v>
      </c>
      <c r="G55" s="25"/>
    </row>
    <row r="56" spans="1:7" ht="50.65">
      <c r="A56" s="302"/>
      <c r="B56" s="202">
        <v>6.3</v>
      </c>
      <c r="C56" s="149" t="s">
        <v>13129</v>
      </c>
      <c r="D56" s="275">
        <v>45051</v>
      </c>
      <c r="E56" s="169" t="s">
        <v>15753</v>
      </c>
      <c r="F56" s="169" t="s">
        <v>15534</v>
      </c>
      <c r="G56" s="25"/>
    </row>
    <row r="57" spans="1:7" ht="40.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2.75" thickBot="1">
      <c r="A59" s="303"/>
      <c r="B59" s="304" t="str">
        <f ca="1">OFFSET(L!$C$1,MATCH("General"&amp;"Cpy",L!$A:$A,0)-1,SL,,)</f>
        <v>© 2024 Responsible Minerals Initiative. All rights reserved.</v>
      </c>
      <c r="C59" s="304"/>
      <c r="D59" s="304"/>
      <c r="E59" s="304"/>
      <c r="F59" s="304"/>
      <c r="G59" s="26"/>
    </row>
    <row r="60" spans="1:7" ht="12.7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203125" defaultRowHeight="12.4"/>
  <cols>
    <col min="1" max="1" width="20.5859375" style="65" customWidth="1"/>
    <col min="2" max="2" width="57.17578125" style="65" customWidth="1"/>
    <col min="3" max="16384" width="8.8203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6A8C09E-B4DA-4102-977F-73EC1034F7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203125" defaultRowHeight="12.4"/>
  <cols>
    <col min="1" max="1" width="11.17578125" customWidth="1"/>
    <col min="2" max="2" width="25.703125" customWidth="1"/>
    <col min="3" max="3" width="11.9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A5F24F5-AC37-4D98-89E1-384C07CE7D1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29.25">
      <c r="A2" s="105" t="str">
        <f ca="1">OFFSET(L!$C$1,MATCH("Instructions"&amp;ADDRESS(ROW(),COLUMN(),4),L!$A:$A,0)-1,SL,,)</f>
        <v>Introduction</v>
      </c>
      <c r="B2" s="100" t="s">
        <v>1292</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4.65">
      <c r="A5" s="106"/>
      <c r="B5" s="100"/>
    </row>
    <row r="6" spans="1:2" ht="29.25">
      <c r="A6" s="105" t="str">
        <f ca="1">OFFSET(L!$C$1,MATCH("Instructions"&amp;ADDRESS(ROW(),COLUMN(),4),L!$A:$A,0)-1,SL,,)</f>
        <v>Instructions for completing Company Information questions (rows 8 - 22).
Provide comments in ENGLISH only</v>
      </c>
      <c r="B6" s="100" t="s">
        <v>1292</v>
      </c>
    </row>
    <row r="7" spans="1:2" ht="14.65">
      <c r="A7" s="237"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1292</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29.25">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4.65">
      <c r="A47" s="106"/>
      <c r="B47" s="100"/>
    </row>
    <row r="48" spans="1:2" ht="29.25">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58.5">
      <c r="A58" s="102" t="str">
        <f ca="1">OFFSET(L!$C$1,MATCH("Instructions"&amp;ADDRESS(ROW(),COLUMN(),4),L!$A:$A,0)-1,SL,,)</f>
        <v>8. Smelter Street -  Provide the street name on which the smelter is located. This field is optional.</v>
      </c>
      <c r="B58" s="100" t="s">
        <v>1291</v>
      </c>
    </row>
    <row r="59" spans="1:2" ht="29.25">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3.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29.25">
      <c r="A74" s="102"/>
      <c r="B74" s="100" t="s">
        <v>437</v>
      </c>
    </row>
    <row r="75" spans="1:2" ht="14.65">
      <c r="A75" s="102" t="str">
        <f ca="1">OFFSET(L!$C$1,MATCH("General"&amp;"Cpy",L!$A:$A,0)-1,SL,,)</f>
        <v>© 2024 Responsible Minerals Initiative. All rights reserved.</v>
      </c>
      <c r="B75" s="101"/>
    </row>
    <row r="76" spans="1:2" ht="14.65">
      <c r="A76" s="103" t="s">
        <v>1025</v>
      </c>
      <c r="B76" s="101"/>
    </row>
    <row r="77" spans="1:2" ht="1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203125" defaultRowHeight="12.4"/>
  <cols>
    <col min="1" max="1" width="1.5859375" customWidth="1"/>
    <col min="2" max="2" width="35.5859375" customWidth="1"/>
    <col min="3" max="3" width="105.5859375" customWidth="1"/>
    <col min="4" max="5" width="1.5859375" customWidth="1"/>
    <col min="6" max="6" width="4.5859375" customWidth="1"/>
    <col min="7" max="7" width="4.8203125" customWidth="1"/>
  </cols>
  <sheetData>
    <row r="1" spans="1:5" ht="12.7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3.9">
      <c r="A10" s="74"/>
      <c r="B10" s="63" t="str">
        <f ca="1">OFFSET(L!$C$1,MATCH("Definitions"&amp;ADDRESS(ROW(),COLUMN(),4),L!$A:$A,0)-1,SL,,)</f>
        <v>DRC</v>
      </c>
      <c r="C10" s="63" t="str">
        <f ca="1">OFFSET(L!$C$1,MATCH("Definitions"&amp;ADDRESS(ROW(),COLUMN(),4),L!$A:$A,0)-1,SL,,)</f>
        <v>Democratic Republic of Congo</v>
      </c>
      <c r="D10" s="321"/>
      <c r="E10" s="100" t="s">
        <v>1300</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92.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1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4.65">
      <c r="A19" s="74"/>
      <c r="B19" s="63" t="str">
        <f ca="1">OFFSET(L!$C$1,MATCH("Definitions"&amp;ADDRESS(ROW(),COLUMN(),4),L!$A:$A,0)-1,SL,,)</f>
        <v>OECD</v>
      </c>
      <c r="C19" s="63" t="str">
        <f ca="1">OFFSET(L!$C$1,MATCH("Definitions"&amp;ADDRESS(ROW(),COLUMN(),4),L!$A:$A,0)-1,SL,,)</f>
        <v>Organisation for Economic Co-operation and Development</v>
      </c>
      <c r="D19" s="321"/>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3.150000000000006">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5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65">
      <c r="A32" s="74"/>
      <c r="B32" s="320" t="str">
        <f ca="1">OFFSET(L!$C$1,MATCH("General"&amp;"Cpy",L!$A:$A,0)-1,SL,,)</f>
        <v>© 2024 Responsible Minerals Initiative. All rights reserved.</v>
      </c>
      <c r="C32" s="320"/>
      <c r="D32" s="321"/>
      <c r="E32" s="100"/>
    </row>
    <row r="33" spans="1:4" ht="12.75" thickBot="1">
      <c r="A33" s="75"/>
      <c r="B33" s="153"/>
      <c r="C33" s="153"/>
      <c r="D33" s="322"/>
    </row>
    <row r="34" spans="1:4" ht="12.7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7" zoomScalePageLayoutView="70" workbookViewId="0">
      <selection activeCell="AB93" sqref="AA93:AB93"/>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hidden="1" customWidth="1"/>
    <col min="13" max="15" width="4.8203125" hidden="1" customWidth="1"/>
    <col min="16" max="24" width="9.17578125" hidden="1" customWidth="1"/>
    <col min="25" max="25" width="0" hidden="1" customWidth="1"/>
  </cols>
  <sheetData>
    <row r="1" spans="1:34" ht="1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28">
        <v>45443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Gold  (*)</v>
      </c>
      <c r="C28" s="35"/>
      <c r="D28" s="326" t="s">
        <v>484</v>
      </c>
      <c r="E28" s="327"/>
      <c r="F28" s="12"/>
      <c r="G28" s="334" t="s">
        <v>15864</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Gold  (*)</v>
      </c>
      <c r="C34" s="10"/>
      <c r="D34" s="326" t="s">
        <v>484</v>
      </c>
      <c r="E34" s="327"/>
      <c r="F34" s="47"/>
      <c r="G34" s="334" t="s">
        <v>15864</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Gold  (*)</v>
      </c>
      <c r="C46" s="10"/>
      <c r="D46" s="326" t="s">
        <v>484</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Tungsten  (*)</v>
      </c>
      <c r="C47" s="10"/>
      <c r="D47" s="326" t="s">
        <v>484</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Tungsten  (*)</v>
      </c>
      <c r="C59" s="35"/>
      <c r="D59" s="368" t="s">
        <v>15865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26" t="s">
        <v>13946</v>
      </c>
      <c r="E89" s="327"/>
      <c r="F89" s="57"/>
      <c r="G89" s="334" t="s">
        <v>15867</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4.6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46ADF53-7A27-4154-8EEB-CBC5B57B33E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145" zoomScaleNormal="100" zoomScalePageLayoutView="55" workbookViewId="0">
      <selection activeCell="A5" sqref="A5:A156"/>
    </sheetView>
  </sheetViews>
  <sheetFormatPr defaultColWidth="8.8203125" defaultRowHeight="12.4"/>
  <cols>
    <col min="1" max="1" width="13.5859375" style="227" customWidth="1"/>
    <col min="2" max="2" width="13.3515625" style="229" customWidth="1"/>
    <col min="3" max="3" width="40.5859375" style="229" customWidth="1"/>
    <col min="4" max="4" width="30.5859375" style="229" customWidth="1"/>
    <col min="5" max="5" width="20.8203125" style="229" customWidth="1"/>
    <col min="6" max="7" width="13.8203125" style="229" customWidth="1"/>
    <col min="8" max="8" width="25.17578125" style="229" customWidth="1"/>
    <col min="9" max="9" width="24.17578125" style="229" customWidth="1"/>
    <col min="10" max="10" width="18.3515625" style="229" customWidth="1"/>
    <col min="11" max="11" width="27.3515625" style="229" customWidth="1"/>
    <col min="12" max="12" width="20.5859375" style="229" customWidth="1"/>
    <col min="13" max="13" width="35.17578125" style="229" customWidth="1"/>
    <col min="14" max="14" width="42.17578125" style="229" customWidth="1"/>
    <col min="15" max="15" width="32.17578125" style="229" customWidth="1"/>
    <col min="16" max="16" width="22.8203125" style="229" customWidth="1"/>
    <col min="17" max="17" width="43.5859375" style="229" customWidth="1"/>
    <col min="18" max="18" width="35.8203125" style="229" hidden="1" customWidth="1"/>
    <col min="19" max="20" width="17.8203125" style="229" hidden="1" customWidth="1"/>
    <col min="21" max="21" width="8.8203125" style="229" hidden="1" customWidth="1"/>
    <col min="22" max="22" width="6.17578125" style="229" hidden="1" customWidth="1"/>
    <col min="23" max="23" width="8.5859375" style="229" hidden="1" customWidth="1"/>
    <col min="24" max="24" width="8.8203125" style="229" hidden="1" customWidth="1"/>
    <col min="25" max="27" width="4.3515625" style="229" hidden="1" customWidth="1"/>
    <col min="28" max="28" width="7.8203125" style="229" hidden="1" customWidth="1"/>
    <col min="29" max="33" width="4.3515625" style="229" hidden="1" customWidth="1"/>
    <col min="34" max="34" width="14.5859375" style="229" hidden="1" customWidth="1"/>
    <col min="35" max="39" width="8.8203125" style="229" customWidth="1"/>
    <col min="40" max="16384" width="8.82031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7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 customHeight="1">
      <c r="A6" s="262"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 customHeight="1">
      <c r="A7" s="262"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20" customHeight="1">
      <c r="A8" s="26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 customHeight="1">
      <c r="A9" s="26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 customHeight="1">
      <c r="A10" s="26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 customHeight="1">
      <c r="A11" s="26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 customHeight="1">
      <c r="A12" s="26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0" customHeight="1">
      <c r="A13" s="262" t="s">
        <v>655</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42</v>
      </c>
      <c r="X13" s="227">
        <f t="shared" ca="1" si="3"/>
        <v>0</v>
      </c>
      <c r="AB13" s="228" t="str">
        <f t="shared" ca="1" si="4"/>
        <v>GoldBangko Sentral ng Pilipinas (Central Bank of the Philippines)</v>
      </c>
    </row>
    <row r="14" spans="1:34" s="227" customFormat="1" ht="20" customHeight="1">
      <c r="A14" s="262" t="s">
        <v>656</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43</v>
      </c>
      <c r="X14" s="227">
        <f t="shared" ca="1" si="3"/>
        <v>0</v>
      </c>
      <c r="AB14" s="228" t="str">
        <f t="shared" ca="1" si="4"/>
        <v>GoldBoliden Ronnskar</v>
      </c>
    </row>
    <row r="15" spans="1:34" s="227" customFormat="1" ht="20" customHeight="1">
      <c r="A15" s="262" t="s">
        <v>658</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44</v>
      </c>
      <c r="X15" s="227">
        <f t="shared" ca="1" si="3"/>
        <v>0</v>
      </c>
      <c r="AB15" s="228" t="str">
        <f t="shared" ca="1" si="4"/>
        <v>GoldC. Hafner GmbH + Co. KG</v>
      </c>
    </row>
    <row r="16" spans="1:34" s="227" customFormat="1" ht="20" customHeight="1">
      <c r="A16" s="262"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20" customHeight="1">
      <c r="A17" s="262" t="s">
        <v>662</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 ca="1">IF(C17="",NA(),IF(OR(C17="Smelter not listed",C17="Smelter not yet identified"),MATCH($B17&amp;$D17,'Smelter Look-up'!$J:$J,0),MATCH($B17&amp;$C17,'Smelter Look-up'!$J:$J,0)))</f>
        <v>57</v>
      </c>
      <c r="X17" s="227">
        <f t="shared" ca="1" si="3"/>
        <v>0</v>
      </c>
      <c r="AB17" s="228" t="str">
        <f t="shared" ca="1" si="4"/>
        <v>GoldChimet S.p.A.</v>
      </c>
    </row>
    <row r="18" spans="1:28" s="227" customFormat="1" ht="20" customHeight="1">
      <c r="A18" s="181" t="s">
        <v>663</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60</v>
      </c>
      <c r="X18" s="227">
        <f t="shared" ca="1" si="3"/>
        <v>0</v>
      </c>
      <c r="AB18" s="228" t="str">
        <f t="shared" ca="1" si="4"/>
        <v>GoldChugai Mining</v>
      </c>
    </row>
    <row r="19" spans="1:28" s="227" customFormat="1" ht="20.25">
      <c r="A19" s="181" t="s">
        <v>666</v>
      </c>
      <c r="B19" s="182" t="str">
        <f ca="1">IF(LEN(A19)=0,"",INDEX('Smelter Look-up'!$A:$A,MATCH($A19,'Smelter Look-up'!$E:$E,0)))</f>
        <v>Gold</v>
      </c>
      <c r="C19" s="186" t="str">
        <f ca="1">IF(LEN(A19)=0,"",INDEX('Smelter Look-up'!$C:$C,MATCH($A19,'Smelter Look-up'!$E:$E,0)))</f>
        <v>DSC (Do Sung Corporation)</v>
      </c>
      <c r="D19" s="230"/>
      <c r="E19" s="182" t="str">
        <f ca="1">IF(ISERROR($V19),"",OFFSET('Smelter Look-up'!$D$4,$V19-4,0)&amp;"")</f>
        <v>KOREA, REPUBLIC OF</v>
      </c>
      <c r="F19" s="182" t="str">
        <f ca="1">IF(ISERROR($V19),"",OFFSET('Smelter Look-up'!$E$4,$V19-4,0))</f>
        <v>CID000359</v>
      </c>
      <c r="G19" s="182" t="str">
        <f ca="1">IF(C19=$X$4,IF(ISERROR($V19),"Enter smelter details","RMI"),IF(ISERROR($V19),"",OFFSET('Smelter Look-up'!$F$4,$V19-4,0)))</f>
        <v>RMI</v>
      </c>
      <c r="H19" s="183">
        <f ca="1">IF(ISERROR($V19),"",OFFSET('Smelter Look-up'!$G$4,$V19-4,0))</f>
        <v>0</v>
      </c>
      <c r="I19" s="184" t="str">
        <f ca="1">IF(ISERROR($V19),"",OFFSET('Smelter Look-up'!$H$4,$V19-4,0))</f>
        <v>Gimpo</v>
      </c>
      <c r="J19" s="184" t="str">
        <f ca="1">IF(ISERROR($V19),"",OFFSET('Smelter Look-up'!$I$4,$V19-4,0))</f>
        <v>Gyeonggi-do</v>
      </c>
      <c r="K19" s="224"/>
      <c r="L19" s="224"/>
      <c r="M19" s="224"/>
      <c r="N19" s="224"/>
      <c r="O19" s="224"/>
      <c r="P19" s="185"/>
      <c r="Q19" s="225"/>
      <c r="R19" s="182" t="str">
        <f ca="1">IF(ISERROR($V19),"",OFFSET('Smelter Look-up'!$C$4,$V19-4,0)&amp;"")</f>
        <v>DSC (Do Sung Corporation)</v>
      </c>
      <c r="S19" s="181" t="str">
        <f t="shared" ca="1" si="2"/>
        <v>KR</v>
      </c>
      <c r="T19" s="181" t="str">
        <f ca="1">IF(B19="","",IF(ISERROR(MATCH($J19,SorP!$B$1:$B$6226,0)),"",INDIRECT("'SorP'!$A$"&amp;MATCH($S19&amp;$J19,SorP!C:C,0))))</f>
        <v>KR-41</v>
      </c>
      <c r="U19" s="201"/>
      <c r="V19" s="226">
        <f ca="1">IF(C19="",NA(),IF(OR(C19="Smelter not listed",C19="Smelter not yet identified"),MATCH($B19&amp;$D19,'Smelter Look-up'!$J:$J,0),MATCH($B19&amp;$C19,'Smelter Look-up'!$J:$J,0)))</f>
        <v>73</v>
      </c>
      <c r="X19" s="227">
        <f t="shared" ca="1" si="3"/>
        <v>0</v>
      </c>
      <c r="AB19" s="228" t="str">
        <f t="shared" ca="1" si="4"/>
        <v>GoldDSC (Do Sung Corporation)</v>
      </c>
    </row>
    <row r="20" spans="1:28" s="227" customFormat="1" ht="20.25">
      <c r="A20" s="181" t="s">
        <v>667</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69</v>
      </c>
      <c r="X20" s="227">
        <f t="shared" ca="1" si="3"/>
        <v>0</v>
      </c>
      <c r="AB20" s="228" t="str">
        <f t="shared" ca="1" si="4"/>
        <v>GoldDowa</v>
      </c>
    </row>
    <row r="21" spans="1:28" s="227" customFormat="1" ht="20.25">
      <c r="A21" s="181" t="s">
        <v>393</v>
      </c>
      <c r="B21" s="182" t="str">
        <f ca="1">IF(LEN(A21)=0,"",INDEX('Smelter Look-up'!$A:$A,MATCH($A21,'Smelter Look-up'!$E:$E,0)))</f>
        <v>Gold</v>
      </c>
      <c r="C21" s="186" t="str">
        <f ca="1">IF(LEN(A21)=0,"",INDEX('Smelter Look-up'!$C:$C,MATCH($A21,'Smelter Look-up'!$E:$E,0)))</f>
        <v>Eco-System Recycling Co., Ltd. East Plant</v>
      </c>
      <c r="D21" s="230"/>
      <c r="E21" s="182" t="str">
        <f ca="1">IF(ISERROR($V21),"",OFFSET('Smelter Look-up'!$D$4,$V21-4,0)&amp;"")</f>
        <v>JAPAN</v>
      </c>
      <c r="F21" s="182" t="str">
        <f ca="1">IF(ISERROR($V21),"",OFFSET('Smelter Look-up'!$E$4,$V21-4,0))</f>
        <v>CID000425</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c r="Q21" s="225"/>
      <c r="R21" s="182" t="str">
        <f ca="1">IF(ISERROR($V21),"",OFFSET('Smelter Look-up'!$C$4,$V21-4,0)&amp;"")</f>
        <v>Eco-System Recycling Co., Ltd. East Plant</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74</v>
      </c>
      <c r="X21" s="227">
        <f t="shared" ca="1" si="3"/>
        <v>0</v>
      </c>
      <c r="AB21" s="228" t="str">
        <f t="shared" ca="1" si="4"/>
        <v>GoldEco-System Recycling Co., Ltd. East Plant</v>
      </c>
    </row>
    <row r="22" spans="1:28" s="227" customFormat="1" ht="20.25">
      <c r="A22" s="181" t="s">
        <v>2481</v>
      </c>
      <c r="B22" s="182" t="str">
        <f ca="1">IF(LEN(A22)=0,"",INDEX('Smelter Look-up'!$A:$A,MATCH($A22,'Smelter Look-up'!$E:$E,0)))</f>
        <v>Gold</v>
      </c>
      <c r="C22" s="186" t="str">
        <f ca="1">IF(LEN(A22)=0,"",INDEX('Smelter Look-up'!$C:$C,MATCH($A22,'Smelter Look-up'!$E:$E,0)))</f>
        <v>LT Metal Ltd.</v>
      </c>
      <c r="D22" s="230"/>
      <c r="E22" s="182" t="str">
        <f ca="1">IF(ISERROR($V22),"",OFFSET('Smelter Look-up'!$D$4,$V22-4,0)&amp;"")</f>
        <v>KOREA, REPUBLIC OF</v>
      </c>
      <c r="F22" s="182" t="str">
        <f ca="1">IF(ISERROR($V22),"",OFFSET('Smelter Look-up'!$E$4,$V22-4,0))</f>
        <v>CID000689</v>
      </c>
      <c r="G22" s="182" t="str">
        <f ca="1">IF(C22=$X$4,IF(ISERROR($V22),"Enter smelter details","RMI"),IF(ISERROR($V22),"",OFFSET('Smelter Look-up'!$F$4,$V22-4,0)))</f>
        <v>RMI</v>
      </c>
      <c r="H22" s="183">
        <f ca="1">IF(ISERROR($V22),"",OFFSET('Smelter Look-up'!$G$4,$V22-4,0))</f>
        <v>0</v>
      </c>
      <c r="I22" s="184" t="str">
        <f ca="1">IF(ISERROR($V22),"",OFFSET('Smelter Look-up'!$H$4,$V22-4,0))</f>
        <v>Seo-gu</v>
      </c>
      <c r="J22" s="184" t="str">
        <f ca="1">IF(ISERROR($V22),"",OFFSET('Smelter Look-up'!$I$4,$V22-4,0))</f>
        <v>Incheon-gwangyeoksi</v>
      </c>
      <c r="K22" s="224"/>
      <c r="L22" s="224"/>
      <c r="M22" s="224"/>
      <c r="N22" s="224"/>
      <c r="O22" s="224"/>
      <c r="P22" s="185"/>
      <c r="Q22" s="225"/>
      <c r="R22" s="182" t="str">
        <f ca="1">IF(ISERROR($V22),"",OFFSET('Smelter Look-up'!$C$4,$V22-4,0)&amp;"")</f>
        <v>LT Metal Ltd.</v>
      </c>
      <c r="S22" s="181" t="str">
        <f t="shared" ca="1" si="2"/>
        <v>KR</v>
      </c>
      <c r="T22" s="181" t="str">
        <f ca="1">IF(B22="","",IF(ISERROR(MATCH($J22,SorP!$B$1:$B$6226,0)),"",INDIRECT("'SorP'!$A$"&amp;MATCH($S22&amp;$J22,SorP!C:C,0))))</f>
        <v>KR-28</v>
      </c>
      <c r="U22" s="201"/>
      <c r="V22" s="226">
        <f ca="1">IF(C22="",NA(),IF(OR(C22="Smelter not listed",C22="Smelter not yet identified"),MATCH($B22&amp;$D22,'Smelter Look-up'!$J:$J,0),MATCH($B22&amp;$C22,'Smelter Look-up'!$J:$J,0)))</f>
        <v>169</v>
      </c>
      <c r="X22" s="227">
        <f t="shared" ca="1" si="3"/>
        <v>0</v>
      </c>
      <c r="AB22" s="228" t="str">
        <f t="shared" ca="1" si="4"/>
        <v>GoldLT Metal Ltd.</v>
      </c>
    </row>
    <row r="23" spans="1:28" s="227" customFormat="1" ht="20.25">
      <c r="A23" s="181" t="s">
        <v>672</v>
      </c>
      <c r="B23" s="182" t="str">
        <f ca="1">IF(LEN(A23)=0,"",INDEX('Smelter Look-up'!$A:$A,MATCH($A23,'Smelter Look-up'!$E:$E,0)))</f>
        <v>Gold</v>
      </c>
      <c r="C23" s="186" t="str">
        <f ca="1">IF(LEN(A23)=0,"",INDEX('Smelter Look-up'!$C:$C,MATCH($A23,'Smelter Look-up'!$E:$E,0)))</f>
        <v>Heimerle + Meule GmbH</v>
      </c>
      <c r="D23" s="230"/>
      <c r="E23" s="182" t="str">
        <f ca="1">IF(ISERROR($V23),"",OFFSET('Smelter Look-up'!$D$4,$V23-4,0)&amp;"")</f>
        <v>GERMANY</v>
      </c>
      <c r="F23" s="182" t="str">
        <f ca="1">IF(ISERROR($V23),"",OFFSET('Smelter Look-up'!$E$4,$V23-4,0))</f>
        <v>CID000694</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Heimerle + Meule GmbH</v>
      </c>
      <c r="S23" s="181" t="str">
        <f t="shared" ca="1" si="2"/>
        <v>DE</v>
      </c>
      <c r="T23" s="181" t="str">
        <f ca="1">IF(B23="","",IF(ISERROR(MATCH($J23,SorP!$B$1:$B$6226,0)),"",INDIRECT("'SorP'!$A$"&amp;MATCH($S23&amp;$J23,SorP!C:C,0))))</f>
        <v>DE-BW</v>
      </c>
      <c r="U23" s="201"/>
      <c r="V23" s="226">
        <f ca="1">IF(C23="",NA(),IF(OR(C23="Smelter not listed",C23="Smelter not yet identified"),MATCH($B23&amp;$D23,'Smelter Look-up'!$J:$J,0),MATCH($B23&amp;$C23,'Smelter Look-up'!$J:$J,0)))</f>
        <v>105</v>
      </c>
      <c r="X23" s="227">
        <f t="shared" ca="1" si="3"/>
        <v>0</v>
      </c>
      <c r="AB23" s="228" t="str">
        <f t="shared" ca="1" si="4"/>
        <v>GoldHeimerle + Meule GmbH</v>
      </c>
    </row>
    <row r="24" spans="1:28" s="227" customFormat="1" ht="20.25">
      <c r="A24" s="181" t="s">
        <v>673</v>
      </c>
      <c r="B24" s="182" t="str">
        <f ca="1">IF(LEN(A24)=0,"",INDEX('Smelter Look-up'!$A:$A,MATCH($A24,'Smelter Look-up'!$E:$E,0)))</f>
        <v>Gold</v>
      </c>
      <c r="C24" s="186" t="str">
        <f ca="1">IF(LEN(A24)=0,"",INDEX('Smelter Look-up'!$C:$C,MATCH($A24,'Smelter Look-up'!$E:$E,0)))</f>
        <v>Heraeus Metals Hong Kong Ltd.</v>
      </c>
      <c r="D24" s="230"/>
      <c r="E24" s="182" t="str">
        <f ca="1">IF(ISERROR($V24),"",OFFSET('Smelter Look-up'!$D$4,$V24-4,0)&amp;"")</f>
        <v>CHINA</v>
      </c>
      <c r="F24" s="182" t="str">
        <f ca="1">IF(ISERROR($V24),"",OFFSET('Smelter Look-up'!$E$4,$V24-4,0))</f>
        <v>CID000707</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v>
      </c>
      <c r="K24" s="224"/>
      <c r="L24" s="224"/>
      <c r="M24" s="224"/>
      <c r="N24" s="224"/>
      <c r="O24" s="224"/>
      <c r="P24" s="185"/>
      <c r="Q24" s="225"/>
      <c r="R24" s="182" t="str">
        <f ca="1">IF(ISERROR($V24),"",OFFSET('Smelter Look-up'!$C$4,$V24-4,0)&amp;"")</f>
        <v>Heraeus Metals Hong Kong Ltd.</v>
      </c>
      <c r="S24" s="181" t="str">
        <f t="shared" ca="1" si="2"/>
        <v>CN</v>
      </c>
      <c r="T24" s="181" t="str">
        <f ca="1">IF(B24="","",IF(ISERROR(MATCH($J24,SorP!$B$1:$B$6226,0)),"",INDIRECT("'SorP'!$A$"&amp;MATCH($S24&amp;$J24,SorP!C:C,0))))</f>
        <v>CN-HK</v>
      </c>
      <c r="U24" s="201"/>
      <c r="V24" s="226">
        <f ca="1">IF(C24="",NA(),IF(OR(C24="Smelter not listed",C24="Smelter not yet identified"),MATCH($B24&amp;$D24,'Smelter Look-up'!$J:$J,0),MATCH($B24&amp;$C24,'Smelter Look-up'!$J:$J,0)))</f>
        <v>111</v>
      </c>
      <c r="X24" s="227">
        <f t="shared" ca="1" si="3"/>
        <v>0</v>
      </c>
      <c r="AB24" s="228" t="str">
        <f t="shared" ca="1" si="4"/>
        <v>GoldHeraeus Metals Hong Kong Ltd.</v>
      </c>
    </row>
    <row r="25" spans="1:28" s="227" customFormat="1" ht="20.25">
      <c r="A25" s="181" t="s">
        <v>674</v>
      </c>
      <c r="B25" s="182" t="str">
        <f ca="1">IF(LEN(A25)=0,"",INDEX('Smelter Look-up'!$A:$A,MATCH($A25,'Smelter Look-up'!$E:$E,0)))</f>
        <v>Gold</v>
      </c>
      <c r="C25" s="186" t="str">
        <f ca="1">IF(LEN(A25)=0,"",INDEX('Smelter Look-up'!$C:$C,MATCH($A25,'Smelter Look-up'!$E:$E,0)))</f>
        <v>Heraeus Germany GmbH Co. KG</v>
      </c>
      <c r="D25" s="230"/>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 ca="1">IF(C25="",NA(),IF(OR(C25="Smelter not listed",C25="Smelter not yet identified"),MATCH($B25&amp;$D25,'Smelter Look-up'!$J:$J,0),MATCH($B25&amp;$C25,'Smelter Look-up'!$J:$J,0)))</f>
        <v>109</v>
      </c>
      <c r="X25" s="227">
        <f t="shared" ca="1" si="3"/>
        <v>0</v>
      </c>
      <c r="AB25" s="228" t="str">
        <f t="shared" ca="1" si="4"/>
        <v>GoldHeraeus Germany GmbH Co. KG</v>
      </c>
    </row>
    <row r="26" spans="1:28" s="227" customFormat="1" ht="20.25">
      <c r="A26" s="181" t="s">
        <v>677</v>
      </c>
      <c r="B26" s="182" t="str">
        <f ca="1">IF(LEN(A26)=0,"",INDEX('Smelter Look-up'!$A:$A,MATCH($A26,'Smelter Look-up'!$E:$E,0)))</f>
        <v>Gold</v>
      </c>
      <c r="C26" s="186" t="str">
        <f ca="1">IF(LEN(A26)=0,"",INDEX('Smelter Look-up'!$C:$C,MATCH($A26,'Smelter Look-up'!$E:$E,0)))</f>
        <v>Inner Mongolia Qiankun Gold and Silver Refinery Share Co., Ltd.</v>
      </c>
      <c r="D26" s="230"/>
      <c r="E26" s="182" t="str">
        <f ca="1">IF(ISERROR($V26),"",OFFSET('Smelter Look-up'!$D$4,$V26-4,0)&amp;"")</f>
        <v>CHINA</v>
      </c>
      <c r="F26" s="182" t="str">
        <f ca="1">IF(ISERROR($V26),"",OFFSET('Smelter Look-up'!$E$4,$V26-4,0))</f>
        <v>CID000801</v>
      </c>
      <c r="G26" s="182" t="str">
        <f ca="1">IF(C26=$X$4,IF(ISERROR($V26),"Enter smelter details","RMI"),IF(ISERROR($V26),"",OFFSET('Smelter Look-up'!$F$4,$V26-4,0)))</f>
        <v>RMI</v>
      </c>
      <c r="H26" s="183">
        <f ca="1">IF(ISERROR($V26),"",OFFSET('Smelter Look-up'!$G$4,$V26-4,0))</f>
        <v>0</v>
      </c>
      <c r="I26" s="184" t="str">
        <f ca="1">IF(ISERROR($V26),"",OFFSET('Smelter Look-up'!$H$4,$V26-4,0))</f>
        <v>Hohhot</v>
      </c>
      <c r="J26" s="184" t="str">
        <f ca="1">IF(ISERROR($V26),"",OFFSET('Smelter Look-up'!$I$4,$V26-4,0))</f>
        <v>Nei Mongol Zizhiqu</v>
      </c>
      <c r="K26" s="224"/>
      <c r="L26" s="224"/>
      <c r="M26" s="224"/>
      <c r="N26" s="224"/>
      <c r="O26" s="224"/>
      <c r="P26" s="185"/>
      <c r="Q26" s="225"/>
      <c r="R26" s="182" t="str">
        <f ca="1">IF(ISERROR($V26),"",OFFSET('Smelter Look-up'!$C$4,$V26-4,0)&amp;"")</f>
        <v>Inner Mongolia Qiankun Gold and Silver Refinery Share Co., Ltd.</v>
      </c>
      <c r="S26" s="181" t="str">
        <f t="shared" ca="1" si="2"/>
        <v>CN</v>
      </c>
      <c r="T26" s="181" t="str">
        <f ca="1">IF(B26="","",IF(ISERROR(MATCH($J26,SorP!$B$1:$B$6226,0)),"",INDIRECT("'SorP'!$A$"&amp;MATCH($S26&amp;$J26,SorP!C:C,0))))</f>
        <v>CN-NM</v>
      </c>
      <c r="U26" s="201"/>
      <c r="V26" s="226">
        <f ca="1">IF(C26="",NA(),IF(OR(C26="Smelter not listed",C26="Smelter not yet identified"),MATCH($B26&amp;$D26,'Smelter Look-up'!$J:$J,0),MATCH($B26&amp;$C26,'Smelter Look-up'!$J:$J,0)))</f>
        <v>125</v>
      </c>
      <c r="X26" s="227">
        <f t="shared" ca="1" si="3"/>
        <v>0</v>
      </c>
      <c r="AB26" s="228" t="str">
        <f t="shared" ca="1" si="4"/>
        <v>GoldInner Mongolia Qiankun Gold and Silver Refinery Share Co., Ltd.</v>
      </c>
    </row>
    <row r="27" spans="1:28" s="227" customFormat="1" ht="20.25">
      <c r="A27" s="181" t="s">
        <v>678</v>
      </c>
      <c r="B27" s="182" t="str">
        <f ca="1">IF(LEN(A27)=0,"",INDEX('Smelter Look-up'!$A:$A,MATCH($A27,'Smelter Look-up'!$E:$E,0)))</f>
        <v>Gold</v>
      </c>
      <c r="C27" s="186" t="str">
        <f ca="1">IF(LEN(A27)=0,"",INDEX('Smelter Look-up'!$C:$C,MATCH($A27,'Smelter Look-up'!$E:$E,0)))</f>
        <v>Ishifuku Metal Industry Co., Ltd.</v>
      </c>
      <c r="D27" s="230"/>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127</v>
      </c>
      <c r="X27" s="227">
        <f t="shared" ca="1" si="3"/>
        <v>0</v>
      </c>
      <c r="AB27" s="228" t="str">
        <f t="shared" ca="1" si="4"/>
        <v>GoldIshifuku Metal Industry Co., Ltd.</v>
      </c>
    </row>
    <row r="28" spans="1:28" s="227" customFormat="1" ht="20.25">
      <c r="A28" s="181" t="s">
        <v>679</v>
      </c>
      <c r="B28" s="182" t="str">
        <f ca="1">IF(LEN(A28)=0,"",INDEX('Smelter Look-up'!$A:$A,MATCH($A28,'Smelter Look-up'!$E:$E,0)))</f>
        <v>Gold</v>
      </c>
      <c r="C28" s="186" t="str">
        <f ca="1">IF(LEN(A28)=0,"",INDEX('Smelter Look-up'!$C:$C,MATCH($A28,'Smelter Look-up'!$E:$E,0)))</f>
        <v>Istanbul Gold Refinery</v>
      </c>
      <c r="D28" s="230"/>
      <c r="E28" s="182" t="str">
        <f ca="1">IF(ISERROR($V28),"",OFFSET('Smelter Look-up'!$D$4,$V28-4,0)&amp;"")</f>
        <v>TURKEY</v>
      </c>
      <c r="F28" s="182" t="str">
        <f ca="1">IF(ISERROR($V28),"",OFFSET('Smelter Look-up'!$E$4,$V28-4,0))</f>
        <v>CID000814</v>
      </c>
      <c r="G28" s="182" t="str">
        <f ca="1">IF(C28=$X$4,IF(ISERROR($V28),"Enter smelter details","RMI"),IF(ISERROR($V28),"",OFFSET('Smelter Look-up'!$F$4,$V28-4,0)))</f>
        <v>RMI</v>
      </c>
      <c r="H28" s="183">
        <f ca="1">IF(ISERROR($V28),"",OFFSET('Smelter Look-up'!$G$4,$V28-4,0))</f>
        <v>0</v>
      </c>
      <c r="I28" s="184" t="str">
        <f ca="1">IF(ISERROR($V28),"",OFFSET('Smelter Look-up'!$H$4,$V28-4,0))</f>
        <v>Kuyumcukent</v>
      </c>
      <c r="J28" s="184" t="str">
        <f ca="1">IF(ISERROR($V28),"",OFFSET('Smelter Look-up'!$I$4,$V28-4,0))</f>
        <v>İstanbul</v>
      </c>
      <c r="K28" s="224"/>
      <c r="L28" s="224"/>
      <c r="M28" s="224"/>
      <c r="N28" s="224"/>
      <c r="O28" s="224"/>
      <c r="P28" s="185"/>
      <c r="Q28" s="225"/>
      <c r="R28" s="182" t="str">
        <f ca="1">IF(ISERROR($V28),"",OFFSET('Smelter Look-up'!$C$4,$V28-4,0)&amp;"")</f>
        <v>Istanbul Gold Refinery</v>
      </c>
      <c r="S28" s="181" t="str">
        <f t="shared" ca="1" si="2"/>
        <v>TR</v>
      </c>
      <c r="T28" s="181" t="str">
        <f ca="1">IF(B28="","",IF(ISERROR(MATCH($J28,SorP!$B$1:$B$6226,0)),"",INDIRECT("'SorP'!$A$"&amp;MATCH($S28&amp;$J28,SorP!C:C,0))))</f>
        <v>TR-34</v>
      </c>
      <c r="U28" s="201"/>
      <c r="V28" s="226">
        <f ca="1">IF(C28="",NA(),IF(OR(C28="Smelter not listed",C28="Smelter not yet identified"),MATCH($B28&amp;$D28,'Smelter Look-up'!$J:$J,0),MATCH($B28&amp;$C28,'Smelter Look-up'!$J:$J,0)))</f>
        <v>128</v>
      </c>
      <c r="X28" s="227">
        <f t="shared" ca="1" si="3"/>
        <v>0</v>
      </c>
      <c r="AB28" s="228" t="str">
        <f t="shared" ca="1" si="4"/>
        <v>GoldIstanbul Gold Refinery</v>
      </c>
    </row>
    <row r="29" spans="1:28" s="227" customFormat="1" ht="20.25">
      <c r="A29" s="181" t="s">
        <v>680</v>
      </c>
      <c r="B29" s="182" t="str">
        <f ca="1">IF(LEN(A29)=0,"",INDEX('Smelter Look-up'!$A:$A,MATCH($A29,'Smelter Look-up'!$E:$E,0)))</f>
        <v>Gold</v>
      </c>
      <c r="C29" s="186" t="str">
        <f ca="1">IF(LEN(A29)=0,"",INDEX('Smelter Look-up'!$C:$C,MATCH($A29,'Smelter Look-up'!$E:$E,0)))</f>
        <v>Japan Mint</v>
      </c>
      <c r="D29" s="230"/>
      <c r="E29" s="182" t="str">
        <f ca="1">IF(ISERROR($V29),"",OFFSET('Smelter Look-up'!$D$4,$V29-4,0)&amp;"")</f>
        <v>JAPAN</v>
      </c>
      <c r="F29" s="182" t="str">
        <f ca="1">IF(ISERROR($V29),"",OFFSET('Smelter Look-up'!$E$4,$V29-4,0))</f>
        <v>CID000823</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 ca="1">IF(C29="",NA(),IF(OR(C29="Smelter not listed",C29="Smelter not yet identified"),MATCH($B29&amp;$D29,'Smelter Look-up'!$J:$J,0),MATCH($B29&amp;$C29,'Smelter Look-up'!$J:$J,0)))</f>
        <v>131</v>
      </c>
      <c r="X29" s="227">
        <f t="shared" ca="1" si="3"/>
        <v>0</v>
      </c>
      <c r="AB29" s="228" t="str">
        <f t="shared" ca="1" si="4"/>
        <v>GoldJapan Mint</v>
      </c>
    </row>
    <row r="30" spans="1:28" s="227" customFormat="1" ht="20.25">
      <c r="A30" s="181" t="s">
        <v>681</v>
      </c>
      <c r="B30" s="182" t="str">
        <f ca="1">IF(LEN(A30)=0,"",INDEX('Smelter Look-up'!$A:$A,MATCH($A30,'Smelter Look-up'!$E:$E,0)))</f>
        <v>Gold</v>
      </c>
      <c r="C30" s="186" t="str">
        <f ca="1">IF(LEN(A30)=0,"",INDEX('Smelter Look-up'!$C:$C,MATCH($A30,'Smelter Look-up'!$E:$E,0)))</f>
        <v>Jiangxi Copper Co., Ltd.</v>
      </c>
      <c r="D30" s="230"/>
      <c r="E30" s="182" t="str">
        <f ca="1">IF(ISERROR($V30),"",OFFSET('Smelter Look-up'!$D$4,$V30-4,0)&amp;"")</f>
        <v>CHINA</v>
      </c>
      <c r="F30" s="182" t="str">
        <f ca="1">IF(ISERROR($V30),"",OFFSET('Smelter Look-up'!$E$4,$V30-4,0))</f>
        <v>CID000855</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133</v>
      </c>
      <c r="X30" s="227">
        <f t="shared" ca="1" si="3"/>
        <v>0</v>
      </c>
      <c r="AB30" s="228" t="str">
        <f t="shared" ca="1" si="4"/>
        <v>GoldJiangxi Copper Co., Ltd.</v>
      </c>
    </row>
    <row r="31" spans="1:28" s="227" customFormat="1" ht="20.25">
      <c r="A31" s="181" t="s">
        <v>682</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 ca="1">IF(C31="",NA(),IF(OR(C31="Smelter not listed",C31="Smelter not yet identified"),MATCH($B31&amp;$D31,'Smelter Look-up'!$J:$J,0),MATCH($B31&amp;$C31,'Smelter Look-up'!$J:$J,0)))</f>
        <v>31</v>
      </c>
      <c r="X31" s="227">
        <f t="shared" ca="1" si="3"/>
        <v>0</v>
      </c>
      <c r="AB31" s="228" t="str">
        <f t="shared" ca="1" si="4"/>
        <v>GoldAsahi Refining USA Inc.</v>
      </c>
    </row>
    <row r="32" spans="1:28" s="227" customFormat="1" ht="20.25">
      <c r="A32" s="181" t="s">
        <v>683</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 ca="1">IF(C32="",NA(),IF(OR(C32="Smelter not listed",C32="Smelter not yet identified"),MATCH($B32&amp;$D32,'Smelter Look-up'!$J:$J,0),MATCH($B32&amp;$C32,'Smelter Look-up'!$J:$J,0)))</f>
        <v>30</v>
      </c>
      <c r="X32" s="227">
        <f t="shared" ca="1" si="3"/>
        <v>0</v>
      </c>
      <c r="AB32" s="228" t="str">
        <f t="shared" ca="1" si="4"/>
        <v>GoldAsahi Refining Canada Ltd.</v>
      </c>
    </row>
    <row r="33" spans="1:28" s="227" customFormat="1" ht="20.25">
      <c r="A33" s="181" t="s">
        <v>686</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141</v>
      </c>
      <c r="X33" s="227">
        <f t="shared" ca="1" si="3"/>
        <v>0</v>
      </c>
      <c r="AB33" s="228" t="str">
        <f t="shared" ca="1" si="4"/>
        <v>GoldJX Nippon Mining &amp; Metals Co., Ltd.</v>
      </c>
    </row>
    <row r="34" spans="1:28" s="227" customFormat="1" ht="20.25">
      <c r="A34" s="181" t="s">
        <v>687</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145</v>
      </c>
      <c r="X34" s="227">
        <f t="shared" ca="1" si="3"/>
        <v>0</v>
      </c>
      <c r="AB34" s="228" t="str">
        <f t="shared" ca="1" si="4"/>
        <v>GoldKazzinc</v>
      </c>
    </row>
    <row r="35" spans="1:28" s="227" customFormat="1" ht="20.25">
      <c r="A35" s="181" t="s">
        <v>689</v>
      </c>
      <c r="B35" s="182" t="str">
        <f ca="1">IF(LEN(A35)=0,"",INDEX('Smelter Look-up'!$A:$A,MATCH($A35,'Smelter Look-up'!$E:$E,0)))</f>
        <v>Gold</v>
      </c>
      <c r="C35" s="186" t="str">
        <f ca="1">IF(LEN(A35)=0,"",INDEX('Smelter Look-up'!$C:$C,MATCH($A35,'Smelter Look-up'!$E:$E,0)))</f>
        <v>Kennecott Utah Copper LLC</v>
      </c>
      <c r="D35" s="230"/>
      <c r="E35" s="182" t="str">
        <f ca="1">IF(ISERROR($V35),"",OFFSET('Smelter Look-up'!$D$4,$V35-4,0)&amp;"")</f>
        <v>UNITED STATES OF AMERICA</v>
      </c>
      <c r="F35" s="182" t="str">
        <f ca="1">IF(ISERROR($V35),"",OFFSET('Smelter Look-up'!$E$4,$V35-4,0))</f>
        <v>CID000969</v>
      </c>
      <c r="G35" s="182" t="str">
        <f ca="1">IF(C35=$X$4,IF(ISERROR($V35),"Enter smelter details","RMI"),IF(ISERROR($V35),"",OFFSET('Smelter Look-up'!$F$4,$V35-4,0)))</f>
        <v>RMI</v>
      </c>
      <c r="H35" s="183">
        <f ca="1">IF(ISERROR($V35),"",OFFSET('Smelter Look-up'!$G$4,$V35-4,0))</f>
        <v>0</v>
      </c>
      <c r="I35" s="184" t="str">
        <f ca="1">IF(ISERROR($V35),"",OFFSET('Smelter Look-up'!$H$4,$V35-4,0))</f>
        <v>Magna</v>
      </c>
      <c r="J35" s="184" t="str">
        <f ca="1">IF(ISERROR($V35),"",OFFSET('Smelter Look-up'!$I$4,$V35-4,0))</f>
        <v>Utah</v>
      </c>
      <c r="K35" s="224"/>
      <c r="L35" s="224"/>
      <c r="M35" s="224"/>
      <c r="N35" s="224"/>
      <c r="O35" s="224"/>
      <c r="P35" s="185"/>
      <c r="Q35" s="225"/>
      <c r="R35" s="182" t="str">
        <f ca="1">IF(ISERROR($V35),"",OFFSET('Smelter Look-up'!$C$4,$V35-4,0)&amp;"")</f>
        <v>Kennecott Utah Copper LLC</v>
      </c>
      <c r="S35" s="181" t="str">
        <f t="shared" ca="1" si="2"/>
        <v>US</v>
      </c>
      <c r="T35" s="181" t="str">
        <f ca="1">IF(B35="","",IF(ISERROR(MATCH($J35,SorP!$B$1:$B$6226,0)),"",INDIRECT("'SorP'!$A$"&amp;MATCH($S35&amp;$J35,SorP!C:C,0))))</f>
        <v>US-UT</v>
      </c>
      <c r="U35" s="201"/>
      <c r="V35" s="226">
        <f ca="1">IF(C35="",NA(),IF(OR(C35="Smelter not listed",C35="Smelter not yet identified"),MATCH($B35&amp;$D35,'Smelter Look-up'!$J:$J,0),MATCH($B35&amp;$C35,'Smelter Look-up'!$J:$J,0)))</f>
        <v>146</v>
      </c>
      <c r="X35" s="227">
        <f t="shared" ca="1" si="3"/>
        <v>0</v>
      </c>
      <c r="AB35" s="228" t="str">
        <f t="shared" ca="1" si="4"/>
        <v>GoldKennecott Utah Copper LLC</v>
      </c>
    </row>
    <row r="36" spans="1:28" s="227" customFormat="1" ht="20.25">
      <c r="A36" s="181" t="s">
        <v>690</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151</v>
      </c>
      <c r="X36" s="227">
        <f t="shared" ca="1" si="3"/>
        <v>0</v>
      </c>
      <c r="AB36" s="228" t="str">
        <f t="shared" ca="1" si="4"/>
        <v>GoldKojima Chemicals Co., Ltd.</v>
      </c>
    </row>
    <row r="37" spans="1:28" s="227" customFormat="1" ht="20.25">
      <c r="A37" s="181" t="s">
        <v>694</v>
      </c>
      <c r="B37" s="182" t="str">
        <f ca="1">IF(LEN(A37)=0,"",INDEX('Smelter Look-up'!$A:$A,MATCH($A37,'Smelter Look-up'!$E:$E,0)))</f>
        <v>Gold</v>
      </c>
      <c r="C37" s="186" t="str">
        <f ca="1">IF(LEN(A37)=0,"",INDEX('Smelter Look-up'!$C:$C,MATCH($A37,'Smelter Look-up'!$E:$E,0)))</f>
        <v>LS MnM Inc.</v>
      </c>
      <c r="D37" s="230"/>
      <c r="E37" s="182" t="str">
        <f ca="1">IF(ISERROR($V37),"",OFFSET('Smelter Look-up'!$D$4,$V37-4,0)&amp;"")</f>
        <v>KOREA, REPUBLIC OF</v>
      </c>
      <c r="F37" s="182" t="str">
        <f ca="1">IF(ISERROR($V37),"",OFFSET('Smelter Look-up'!$E$4,$V37-4,0))</f>
        <v>CID001078</v>
      </c>
      <c r="G37" s="182" t="str">
        <f ca="1">IF(C37=$X$4,IF(ISERROR($V37),"Enter smelter details","RMI"),IF(ISERROR($V37),"",OFFSET('Smelter Look-up'!$F$4,$V37-4,0)))</f>
        <v>RMI</v>
      </c>
      <c r="H37" s="183">
        <f ca="1">IF(ISERROR($V37),"",OFFSET('Smelter Look-up'!$G$4,$V37-4,0))</f>
        <v>0</v>
      </c>
      <c r="I37" s="184" t="str">
        <f ca="1">IF(ISERROR($V37),"",OFFSET('Smelter Look-up'!$H$4,$V37-4,0))</f>
        <v>Onsan-eup</v>
      </c>
      <c r="J37" s="184" t="str">
        <f ca="1">IF(ISERROR($V37),"",OFFSET('Smelter Look-up'!$I$4,$V37-4,0))</f>
        <v>Ulsan-gwangyeoksi</v>
      </c>
      <c r="K37" s="224"/>
      <c r="L37" s="224"/>
      <c r="M37" s="224"/>
      <c r="N37" s="224"/>
      <c r="O37" s="224"/>
      <c r="P37" s="185"/>
      <c r="Q37" s="225"/>
      <c r="R37" s="182" t="str">
        <f ca="1">IF(ISERROR($V37),"",OFFSET('Smelter Look-up'!$C$4,$V37-4,0)&amp;"")</f>
        <v>LS MnM Inc.</v>
      </c>
      <c r="S37" s="181" t="str">
        <f t="shared" ca="1" si="2"/>
        <v>KR</v>
      </c>
      <c r="T37" s="181" t="str">
        <f ca="1">IF(B37="","",IF(ISERROR(MATCH($J37,SorP!$B$1:$B$6226,0)),"",INDIRECT("'SorP'!$A$"&amp;MATCH($S37&amp;$J37,SorP!C:C,0))))</f>
        <v>KR-31</v>
      </c>
      <c r="U37" s="201"/>
      <c r="V37" s="226">
        <f ca="1">IF(C37="",NA(),IF(OR(C37="Smelter not listed",C37="Smelter not yet identified"),MATCH($B37&amp;$D37,'Smelter Look-up'!$J:$J,0),MATCH($B37&amp;$C37,'Smelter Look-up'!$J:$J,0)))</f>
        <v>168</v>
      </c>
      <c r="X37" s="227">
        <f t="shared" ca="1" si="3"/>
        <v>0</v>
      </c>
      <c r="AB37" s="228" t="str">
        <f t="shared" ca="1" si="4"/>
        <v>GoldLS MnM Inc.</v>
      </c>
    </row>
    <row r="38" spans="1:28" s="227" customFormat="1" ht="20.25">
      <c r="A38" s="181" t="s">
        <v>697</v>
      </c>
      <c r="B38" s="182" t="str">
        <f ca="1">IF(LEN(A38)=0,"",INDEX('Smelter Look-up'!$A:$A,MATCH($A38,'Smelter Look-up'!$E:$E,0)))</f>
        <v>Gold</v>
      </c>
      <c r="C38" s="186" t="str">
        <f ca="1">IF(LEN(A38)=0,"",INDEX('Smelter Look-up'!$C:$C,MATCH($A38,'Smelter Look-up'!$E:$E,0)))</f>
        <v>Materion</v>
      </c>
      <c r="D38" s="230"/>
      <c r="E38" s="182" t="str">
        <f ca="1">IF(ISERROR($V38),"",OFFSET('Smelter Look-up'!$D$4,$V38-4,0)&amp;"")</f>
        <v>UNITED STATES OF AMERICA</v>
      </c>
      <c r="F38" s="182" t="str">
        <f ca="1">IF(ISERROR($V38),"",OFFSET('Smelter Look-up'!$E$4,$V38-4,0))</f>
        <v>CID001113</v>
      </c>
      <c r="G38" s="182" t="str">
        <f ca="1">IF(C38=$X$4,IF(ISERROR($V38),"Enter smelter details","RMI"),IF(ISERROR($V38),"",OFFSET('Smelter Look-up'!$F$4,$V38-4,0)))</f>
        <v>RMI</v>
      </c>
      <c r="H38" s="183">
        <f ca="1">IF(ISERROR($V38),"",OFFSET('Smelter Look-up'!$G$4,$V38-4,0))</f>
        <v>0</v>
      </c>
      <c r="I38" s="184" t="str">
        <f ca="1">IF(ISERROR($V38),"",OFFSET('Smelter Look-up'!$H$4,$V38-4,0))</f>
        <v>Buffalo</v>
      </c>
      <c r="J38" s="184" t="str">
        <f ca="1">IF(ISERROR($V38),"",OFFSET('Smelter Look-up'!$I$4,$V38-4,0))</f>
        <v>New York</v>
      </c>
      <c r="K38" s="224"/>
      <c r="L38" s="224"/>
      <c r="M38" s="224"/>
      <c r="N38" s="224"/>
      <c r="O38" s="224"/>
      <c r="P38" s="185"/>
      <c r="Q38" s="225"/>
      <c r="R38" s="182" t="str">
        <f ca="1">IF(ISERROR($V38),"",OFFSET('Smelter Look-up'!$C$4,$V38-4,0)&amp;"")</f>
        <v>Materion</v>
      </c>
      <c r="S38" s="181" t="str">
        <f t="shared" ref="S38:S68" ca="1" si="5">IF(B38="","",IF(ISERROR(MATCH($E38,CL,0)),"Unknown",INDIRECT("'C'!$A$"&amp;MATCH($E38,CL,0)+1)))</f>
        <v>US</v>
      </c>
      <c r="T38" s="181" t="str">
        <f ca="1">IF(B38="","",IF(ISERROR(MATCH($J38,SorP!$B$1:$B$6226,0)),"",INDIRECT("'SorP'!$A$"&amp;MATCH($S38&amp;$J38,SorP!C:C,0))))</f>
        <v>US-NY</v>
      </c>
      <c r="U38" s="201"/>
      <c r="V38" s="226">
        <f ca="1">IF(C38="",NA(),IF(OR(C38="Smelter not listed",C38="Smelter not yet identified"),MATCH($B38&amp;$D38,'Smelter Look-up'!$J:$J,0),MATCH($B38&amp;$C38,'Smelter Look-up'!$J:$J,0)))</f>
        <v>174</v>
      </c>
      <c r="X38" s="227">
        <f t="shared" ref="X38:X68" ca="1" si="6">IF(AND(C38="Smelter not listed",OR(LEN(D38)=0,LEN(E38)=0)),1,0)</f>
        <v>0</v>
      </c>
      <c r="AB38" s="228" t="str">
        <f t="shared" ref="AB38:AB68" ca="1" si="7">B38&amp;C38</f>
        <v>GoldMaterion</v>
      </c>
    </row>
    <row r="39" spans="1:28" s="227" customFormat="1" ht="20.25">
      <c r="A39" s="181" t="s">
        <v>698</v>
      </c>
      <c r="B39" s="182" t="str">
        <f ca="1">IF(LEN(A39)=0,"",INDEX('Smelter Look-up'!$A:$A,MATCH($A39,'Smelter Look-up'!$E:$E,0)))</f>
        <v>Gold</v>
      </c>
      <c r="C39" s="186" t="str">
        <f ca="1">IF(LEN(A39)=0,"",INDEX('Smelter Look-up'!$C:$C,MATCH($A39,'Smelter Look-up'!$E:$E,0)))</f>
        <v>Matsuda Sangyo Co., Ltd.</v>
      </c>
      <c r="D39" s="230"/>
      <c r="E39" s="182" t="str">
        <f ca="1">IF(ISERROR($V39),"",OFFSET('Smelter Look-up'!$D$4,$V39-4,0)&amp;"")</f>
        <v>JAPAN</v>
      </c>
      <c r="F39" s="182" t="str">
        <f ca="1">IF(ISERROR($V39),"",OFFSET('Smelter Look-up'!$E$4,$V39-4,0))</f>
        <v>CID001119</v>
      </c>
      <c r="G39" s="182" t="str">
        <f ca="1">IF(C39=$X$4,IF(ISERROR($V39),"Enter smelter details","RMI"),IF(ISERROR($V39),"",OFFSET('Smelter Look-up'!$F$4,$V39-4,0)))</f>
        <v>RMI</v>
      </c>
      <c r="H39" s="183">
        <f ca="1">IF(ISERROR($V39),"",OFFSET('Smelter Look-up'!$G$4,$V39-4,0))</f>
        <v>0</v>
      </c>
      <c r="I39" s="184" t="str">
        <f ca="1">IF(ISERROR($V39),"",OFFSET('Smelter Look-up'!$H$4,$V39-4,0))</f>
        <v>Iruma</v>
      </c>
      <c r="J39" s="184" t="str">
        <f ca="1">IF(ISERROR($V39),"",OFFSET('Smelter Look-up'!$I$4,$V39-4,0))</f>
        <v>Saitama</v>
      </c>
      <c r="K39" s="224"/>
      <c r="L39" s="224"/>
      <c r="M39" s="224"/>
      <c r="N39" s="224"/>
      <c r="O39" s="224"/>
      <c r="P39" s="185"/>
      <c r="Q39" s="225"/>
      <c r="R39" s="182" t="str">
        <f ca="1">IF(ISERROR($V39),"",OFFSET('Smelter Look-up'!$C$4,$V39-4,0)&amp;"")</f>
        <v>Matsuda Sangyo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175</v>
      </c>
      <c r="X39" s="227">
        <f t="shared" ca="1" si="6"/>
        <v>0</v>
      </c>
      <c r="AB39" s="228" t="str">
        <f t="shared" ca="1" si="7"/>
        <v>GoldMatsuda Sangyo Co., Ltd.</v>
      </c>
    </row>
    <row r="40" spans="1:28" s="227" customFormat="1" ht="20.25">
      <c r="A40" s="181" t="s">
        <v>1612</v>
      </c>
      <c r="B40" s="182" t="str">
        <f ca="1">IF(LEN(A40)=0,"",INDEX('Smelter Look-up'!$A:$A,MATCH($A40,'Smelter Look-up'!$E:$E,0)))</f>
        <v>Gold</v>
      </c>
      <c r="C40" s="186" t="str">
        <f ca="1">IF(LEN(A40)=0,"",INDEX('Smelter Look-up'!$C:$C,MATCH($A40,'Smelter Look-up'!$E:$E,0)))</f>
        <v>Metalor Technologies (Suzhou) Ltd.</v>
      </c>
      <c r="D40" s="230"/>
      <c r="E40" s="182" t="str">
        <f ca="1">IF(ISERROR($V40),"",OFFSET('Smelter Look-up'!$D$4,$V40-4,0)&amp;"")</f>
        <v>CHINA</v>
      </c>
      <c r="F40" s="182" t="str">
        <f ca="1">IF(ISERROR($V40),"",OFFSET('Smelter Look-up'!$E$4,$V40-4,0))</f>
        <v>CID001147</v>
      </c>
      <c r="G40" s="182" t="str">
        <f ca="1">IF(C40=$X$4,IF(ISERROR($V40),"Enter smelter details","RMI"),IF(ISERROR($V40),"",OFFSET('Smelter Look-up'!$F$4,$V40-4,0)))</f>
        <v>RMI</v>
      </c>
      <c r="H40" s="183">
        <f ca="1">IF(ISERROR($V40),"",OFFSET('Smelter Look-up'!$G$4,$V40-4,0))</f>
        <v>0</v>
      </c>
      <c r="I40" s="184" t="str">
        <f ca="1">IF(ISERROR($V40),"",OFFSET('Smelter Look-up'!$H$4,$V40-4,0))</f>
        <v>Suzhou</v>
      </c>
      <c r="J40" s="184" t="str">
        <f ca="1">IF(ISERROR($V40),"",OFFSET('Smelter Look-up'!$I$4,$V40-4,0))</f>
        <v>Jiangsu Sheng</v>
      </c>
      <c r="K40" s="224"/>
      <c r="L40" s="224"/>
      <c r="M40" s="224"/>
      <c r="N40" s="224"/>
      <c r="O40" s="224"/>
      <c r="P40" s="185"/>
      <c r="Q40" s="225"/>
      <c r="R40" s="182" t="str">
        <f ca="1">IF(ISERROR($V40),"",OFFSET('Smelter Look-up'!$C$4,$V40-4,0)&amp;"")</f>
        <v>Metalor Technologies (Suzhou) Ltd.</v>
      </c>
      <c r="S40" s="181" t="str">
        <f t="shared" ca="1" si="5"/>
        <v>CN</v>
      </c>
      <c r="T40" s="181" t="str">
        <f ca="1">IF(B40="","",IF(ISERROR(MATCH($J40,SorP!$B$1:$B$6226,0)),"",INDIRECT("'SorP'!$A$"&amp;MATCH($S40&amp;$J40,SorP!C:C,0))))</f>
        <v>CN-JS</v>
      </c>
      <c r="U40" s="201"/>
      <c r="V40" s="226">
        <f ca="1">IF(C40="",NA(),IF(OR(C40="Smelter not listed",C40="Smelter not yet identified"),MATCH($B40&amp;$D40,'Smelter Look-up'!$J:$J,0),MATCH($B40&amp;$C40,'Smelter Look-up'!$J:$J,0)))</f>
        <v>185</v>
      </c>
      <c r="X40" s="227">
        <f t="shared" ca="1" si="6"/>
        <v>0</v>
      </c>
      <c r="AB40" s="228" t="str">
        <f t="shared" ca="1" si="7"/>
        <v>GoldMetalor Technologies (Suzhou) Ltd.</v>
      </c>
    </row>
    <row r="41" spans="1:28" s="227" customFormat="1" ht="20.25">
      <c r="A41" s="181" t="s">
        <v>699</v>
      </c>
      <c r="B41" s="182" t="str">
        <f ca="1">IF(LEN(A41)=0,"",INDEX('Smelter Look-up'!$A:$A,MATCH($A41,'Smelter Look-up'!$E:$E,0)))</f>
        <v>Gold</v>
      </c>
      <c r="C41" s="186" t="str">
        <f ca="1">IF(LEN(A41)=0,"",INDEX('Smelter Look-up'!$C:$C,MATCH($A41,'Smelter Look-up'!$E:$E,0)))</f>
        <v>Metalor Technologies (Hong Kong) Ltd.</v>
      </c>
      <c r="D41" s="230"/>
      <c r="E41" s="182" t="str">
        <f ca="1">IF(ISERROR($V41),"",OFFSET('Smelter Look-up'!$D$4,$V41-4,0)&amp;"")</f>
        <v>CHINA</v>
      </c>
      <c r="F41" s="182" t="str">
        <f ca="1">IF(ISERROR($V41),"",OFFSET('Smelter Look-up'!$E$4,$V41-4,0))</f>
        <v>CID001149</v>
      </c>
      <c r="G41" s="182" t="str">
        <f ca="1">IF(C41=$X$4,IF(ISERROR($V41),"Enter smelter details","RMI"),IF(ISERROR($V41),"",OFFSET('Smelter Look-up'!$F$4,$V41-4,0)))</f>
        <v>RMI</v>
      </c>
      <c r="H41" s="183">
        <f ca="1">IF(ISERROR($V41),"",OFFSET('Smelter Look-up'!$G$4,$V41-4,0))</f>
        <v>0</v>
      </c>
      <c r="I41" s="184" t="str">
        <f ca="1">IF(ISERROR($V41),"",OFFSET('Smelter Look-up'!$H$4,$V41-4,0))</f>
        <v>Kwai Chung</v>
      </c>
      <c r="J41" s="184" t="str">
        <f ca="1">IF(ISERROR($V41),"",OFFSET('Smelter Look-up'!$I$4,$V41-4,0))</f>
        <v>Hong Kong SAR</v>
      </c>
      <c r="K41" s="224"/>
      <c r="L41" s="224"/>
      <c r="M41" s="224"/>
      <c r="N41" s="224"/>
      <c r="O41" s="224"/>
      <c r="P41" s="185"/>
      <c r="Q41" s="225"/>
      <c r="R41" s="182" t="str">
        <f ca="1">IF(ISERROR($V41),"",OFFSET('Smelter Look-up'!$C$4,$V41-4,0)&amp;"")</f>
        <v>Metalor Technologies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183</v>
      </c>
      <c r="X41" s="227">
        <f t="shared" ca="1" si="6"/>
        <v>0</v>
      </c>
      <c r="AB41" s="228" t="str">
        <f t="shared" ca="1" si="7"/>
        <v>GoldMetalor Technologies (Hong Kong) Ltd.</v>
      </c>
    </row>
    <row r="42" spans="1:28" s="227" customFormat="1" ht="20.25">
      <c r="A42" s="181" t="s">
        <v>700</v>
      </c>
      <c r="B42" s="182" t="str">
        <f ca="1">IF(LEN(A42)=0,"",INDEX('Smelter Look-up'!$A:$A,MATCH($A42,'Smelter Look-up'!$E:$E,0)))</f>
        <v>Gold</v>
      </c>
      <c r="C42" s="186" t="str">
        <f ca="1">IF(LEN(A42)=0,"",INDEX('Smelter Look-up'!$C:$C,MATCH($A42,'Smelter Look-up'!$E:$E,0)))</f>
        <v>Metalor Technologies (Singapore) Pte., Ltd.</v>
      </c>
      <c r="D42" s="230"/>
      <c r="E42" s="182" t="str">
        <f ca="1">IF(ISERROR($V42),"",OFFSET('Smelter Look-up'!$D$4,$V42-4,0)&amp;"")</f>
        <v>SINGAPORE</v>
      </c>
      <c r="F42" s="182" t="str">
        <f ca="1">IF(ISERROR($V42),"",OFFSET('Smelter Look-up'!$E$4,$V42-4,0))</f>
        <v>CID001152</v>
      </c>
      <c r="G42" s="182" t="str">
        <f ca="1">IF(C42=$X$4,IF(ISERROR($V42),"Enter smelter details","RMI"),IF(ISERROR($V42),"",OFFSET('Smelter Look-up'!$F$4,$V42-4,0)))</f>
        <v>RMI</v>
      </c>
      <c r="H42" s="183">
        <f ca="1">IF(ISERROR($V42),"",OFFSET('Smelter Look-up'!$G$4,$V42-4,0))</f>
        <v>0</v>
      </c>
      <c r="I42" s="184" t="str">
        <f ca="1">IF(ISERROR($V42),"",OFFSET('Smelter Look-up'!$H$4,$V42-4,0))</f>
        <v>Singapore</v>
      </c>
      <c r="J42" s="184" t="str">
        <f ca="1">IF(ISERROR($V42),"",OFFSET('Smelter Look-up'!$I$4,$V42-4,0))</f>
        <v>South West</v>
      </c>
      <c r="K42" s="224"/>
      <c r="L42" s="224"/>
      <c r="M42" s="224"/>
      <c r="N42" s="224"/>
      <c r="O42" s="224"/>
      <c r="P42" s="185"/>
      <c r="Q42" s="225"/>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 ca="1">IF(C42="",NA(),IF(OR(C42="Smelter not listed",C42="Smelter not yet identified"),MATCH($B42&amp;$D42,'Smelter Look-up'!$J:$J,0),MATCH($B42&amp;$C42,'Smelter Look-up'!$J:$J,0)))</f>
        <v>184</v>
      </c>
      <c r="X42" s="227">
        <f t="shared" ca="1" si="6"/>
        <v>0</v>
      </c>
      <c r="AB42" s="228" t="str">
        <f t="shared" ca="1" si="7"/>
        <v>GoldMetalor Technologies (Singapore) Pte., Ltd.</v>
      </c>
    </row>
    <row r="43" spans="1:28" s="227" customFormat="1" ht="20.25">
      <c r="A43" s="181" t="s">
        <v>701</v>
      </c>
      <c r="B43" s="182" t="str">
        <f ca="1">IF(LEN(A43)=0,"",INDEX('Smelter Look-up'!$A:$A,MATCH($A43,'Smelter Look-up'!$E:$E,0)))</f>
        <v>Gold</v>
      </c>
      <c r="C43" s="186" t="str">
        <f ca="1">IF(LEN(A43)=0,"",INDEX('Smelter Look-up'!$C:$C,MATCH($A43,'Smelter Look-up'!$E:$E,0)))</f>
        <v>Metalor Technologies S.A.</v>
      </c>
      <c r="D43" s="230"/>
      <c r="E43" s="182" t="str">
        <f ca="1">IF(ISERROR($V43),"",OFFSET('Smelter Look-up'!$D$4,$V43-4,0)&amp;"")</f>
        <v>SWITZERLAND</v>
      </c>
      <c r="F43" s="182" t="str">
        <f ca="1">IF(ISERROR($V43),"",OFFSET('Smelter Look-up'!$E$4,$V43-4,0))</f>
        <v>CID001153</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5"/>
        <v>CH</v>
      </c>
      <c r="T43" s="181" t="str">
        <f ca="1">IF(B43="","",IF(ISERROR(MATCH($J43,SorP!$B$1:$B$6226,0)),"",INDIRECT("'SorP'!$A$"&amp;MATCH($S43&amp;$J43,SorP!C:C,0))))</f>
        <v>CH-NE</v>
      </c>
      <c r="U43" s="201"/>
      <c r="V43" s="226">
        <f ca="1">IF(C43="",NA(),IF(OR(C43="Smelter not listed",C43="Smelter not yet identified"),MATCH($B43&amp;$D43,'Smelter Look-up'!$J:$J,0),MATCH($B43&amp;$C43,'Smelter Look-up'!$J:$J,0)))</f>
        <v>186</v>
      </c>
      <c r="X43" s="227">
        <f t="shared" ca="1" si="6"/>
        <v>0</v>
      </c>
      <c r="AB43" s="228" t="str">
        <f t="shared" ca="1" si="7"/>
        <v>GoldMetalor Technologies S.A.</v>
      </c>
    </row>
    <row r="44" spans="1:28" s="227" customFormat="1" ht="20.25">
      <c r="A44" s="181" t="s">
        <v>702</v>
      </c>
      <c r="B44" s="182" t="str">
        <f ca="1">IF(LEN(A44)=0,"",INDEX('Smelter Look-up'!$A:$A,MATCH($A44,'Smelter Look-up'!$E:$E,0)))</f>
        <v>Gold</v>
      </c>
      <c r="C44" s="186" t="str">
        <f ca="1">IF(LEN(A44)=0,"",INDEX('Smelter Look-up'!$C:$C,MATCH($A44,'Smelter Look-up'!$E:$E,0)))</f>
        <v>Metalor USA Refining Corporation</v>
      </c>
      <c r="D44" s="230"/>
      <c r="E44" s="182" t="str">
        <f ca="1">IF(ISERROR($V44),"",OFFSET('Smelter Look-up'!$D$4,$V44-4,0)&amp;"")</f>
        <v>UNITED STATES OF AMERICA</v>
      </c>
      <c r="F44" s="182" t="str">
        <f ca="1">IF(ISERROR($V44),"",OFFSET('Smelter Look-up'!$E$4,$V44-4,0))</f>
        <v>CID001157</v>
      </c>
      <c r="G44" s="182" t="str">
        <f ca="1">IF(C44=$X$4,IF(ISERROR($V44),"Enter smelter details","RMI"),IF(ISERROR($V44),"",OFFSET('Smelter Look-up'!$F$4,$V44-4,0)))</f>
        <v>RMI</v>
      </c>
      <c r="H44" s="183">
        <f ca="1">IF(ISERROR($V44),"",OFFSET('Smelter Look-up'!$G$4,$V44-4,0))</f>
        <v>0</v>
      </c>
      <c r="I44" s="184" t="str">
        <f ca="1">IF(ISERROR($V44),"",OFFSET('Smelter Look-up'!$H$4,$V44-4,0))</f>
        <v>North Attleboro</v>
      </c>
      <c r="J44" s="184" t="str">
        <f ca="1">IF(ISERROR($V44),"",OFFSET('Smelter Look-up'!$I$4,$V44-4,0))</f>
        <v>Massachusetts</v>
      </c>
      <c r="K44" s="224"/>
      <c r="L44" s="224"/>
      <c r="M44" s="224"/>
      <c r="N44" s="224"/>
      <c r="O44" s="224"/>
      <c r="P44" s="185"/>
      <c r="Q44" s="225"/>
      <c r="R44" s="182" t="str">
        <f ca="1">IF(ISERROR($V44),"",OFFSET('Smelter Look-up'!$C$4,$V44-4,0)&amp;"")</f>
        <v>Metalor USA Refining Corporation</v>
      </c>
      <c r="S44" s="181" t="str">
        <f t="shared" ca="1" si="5"/>
        <v>US</v>
      </c>
      <c r="T44" s="181" t="str">
        <f ca="1">IF(B44="","",IF(ISERROR(MATCH($J44,SorP!$B$1:$B$6226,0)),"",INDIRECT("'SorP'!$A$"&amp;MATCH($S44&amp;$J44,SorP!C:C,0))))</f>
        <v>US-MA</v>
      </c>
      <c r="U44" s="201"/>
      <c r="V44" s="226">
        <f ca="1">IF(C44="",NA(),IF(OR(C44="Smelter not listed",C44="Smelter not yet identified"),MATCH($B44&amp;$D44,'Smelter Look-up'!$J:$J,0),MATCH($B44&amp;$C44,'Smelter Look-up'!$J:$J,0)))</f>
        <v>187</v>
      </c>
      <c r="X44" s="227">
        <f t="shared" ca="1" si="6"/>
        <v>0</v>
      </c>
      <c r="AB44" s="228" t="str">
        <f t="shared" ca="1" si="7"/>
        <v>GoldMetalor USA Refining Corporation</v>
      </c>
    </row>
    <row r="45" spans="1:28" s="227" customFormat="1" ht="20.25">
      <c r="A45" s="181" t="s">
        <v>703</v>
      </c>
      <c r="B45" s="182" t="str">
        <f ca="1">IF(LEN(A45)=0,"",INDEX('Smelter Look-up'!$A:$A,MATCH($A45,'Smelter Look-up'!$E:$E,0)))</f>
        <v>Gold</v>
      </c>
      <c r="C45" s="186" t="str">
        <f ca="1">IF(LEN(A45)=0,"",INDEX('Smelter Look-up'!$C:$C,MATCH($A45,'Smelter Look-up'!$E:$E,0)))</f>
        <v>Metalurgica Met-Mex Penoles S.A. De C.V.</v>
      </c>
      <c r="D45" s="230"/>
      <c r="E45" s="182" t="str">
        <f ca="1">IF(ISERROR($V45),"",OFFSET('Smelter Look-up'!$D$4,$V45-4,0)&amp;"")</f>
        <v>MEXICO</v>
      </c>
      <c r="F45" s="182" t="str">
        <f ca="1">IF(ISERROR($V45),"",OFFSET('Smelter Look-up'!$E$4,$V45-4,0))</f>
        <v>CID001161</v>
      </c>
      <c r="G45" s="182" t="str">
        <f ca="1">IF(C45=$X$4,IF(ISERROR($V45),"Enter smelter details","RMI"),IF(ISERROR($V45),"",OFFSET('Smelter Look-up'!$F$4,$V45-4,0)))</f>
        <v>RMI</v>
      </c>
      <c r="H45" s="183">
        <f ca="1">IF(ISERROR($V45),"",OFFSET('Smelter Look-up'!$G$4,$V45-4,0))</f>
        <v>0</v>
      </c>
      <c r="I45" s="184" t="str">
        <f ca="1">IF(ISERROR($V45),"",OFFSET('Smelter Look-up'!$H$4,$V45-4,0))</f>
        <v>Torreon</v>
      </c>
      <c r="J45" s="184" t="str">
        <f ca="1">IF(ISERROR($V45),"",OFFSET('Smelter Look-up'!$I$4,$V45-4,0))</f>
        <v>Coahuila de Zaragoza</v>
      </c>
      <c r="K45" s="224"/>
      <c r="L45" s="224"/>
      <c r="M45" s="224"/>
      <c r="N45" s="224"/>
      <c r="O45" s="224"/>
      <c r="P45" s="185"/>
      <c r="Q45" s="225"/>
      <c r="R45" s="182" t="str">
        <f ca="1">IF(ISERROR($V45),"",OFFSET('Smelter Look-up'!$C$4,$V45-4,0)&amp;"")</f>
        <v>Metalurgica Met-Mex Penoles S.A. De C.V.</v>
      </c>
      <c r="S45" s="181" t="str">
        <f t="shared" ca="1" si="5"/>
        <v>MX</v>
      </c>
      <c r="T45" s="181" t="str">
        <f ca="1">IF(B45="","",IF(ISERROR(MATCH($J45,SorP!$B$1:$B$6226,0)),"",INDIRECT("'SorP'!$A$"&amp;MATCH($S45&amp;$J45,SorP!C:C,0))))</f>
        <v>MX-COA</v>
      </c>
      <c r="U45" s="201"/>
      <c r="V45" s="226">
        <f ca="1">IF(C45="",NA(),IF(OR(C45="Smelter not listed",C45="Smelter not yet identified"),MATCH($B45&amp;$D45,'Smelter Look-up'!$J:$J,0),MATCH($B45&amp;$C45,'Smelter Look-up'!$J:$J,0)))</f>
        <v>188</v>
      </c>
      <c r="X45" s="227">
        <f t="shared" ca="1" si="6"/>
        <v>0</v>
      </c>
      <c r="AB45" s="228" t="str">
        <f t="shared" ca="1" si="7"/>
        <v>GoldMetalurgica Met-Mex Penoles S.A. De C.V.</v>
      </c>
    </row>
    <row r="46" spans="1:28" s="227" customFormat="1" ht="20.25">
      <c r="A46" s="181" t="s">
        <v>704</v>
      </c>
      <c r="B46" s="182" t="str">
        <f ca="1">IF(LEN(A46)=0,"",INDEX('Smelter Look-up'!$A:$A,MATCH($A46,'Smelter Look-up'!$E:$E,0)))</f>
        <v>Gold</v>
      </c>
      <c r="C46" s="186" t="str">
        <f ca="1">IF(LEN(A46)=0,"",INDEX('Smelter Look-up'!$C:$C,MATCH($A46,'Smelter Look-up'!$E:$E,0)))</f>
        <v>Mitsubishi Materials Corporation</v>
      </c>
      <c r="D46" s="230"/>
      <c r="E46" s="182" t="str">
        <f ca="1">IF(ISERROR($V46),"",OFFSET('Smelter Look-up'!$D$4,$V46-4,0)&amp;"")</f>
        <v>JAPAN</v>
      </c>
      <c r="F46" s="182" t="str">
        <f ca="1">IF(ISERROR($V46),"",OFFSET('Smelter Look-up'!$E$4,$V46-4,0))</f>
        <v>CID001188</v>
      </c>
      <c r="G46" s="182" t="str">
        <f ca="1">IF(C46=$X$4,IF(ISERROR($V46),"Enter smelter details","RMI"),IF(ISERROR($V46),"",OFFSET('Smelter Look-up'!$F$4,$V46-4,0)))</f>
        <v>RMI</v>
      </c>
      <c r="H46" s="183">
        <f ca="1">IF(ISERROR($V46),"",OFFSET('Smelter Look-up'!$G$4,$V46-4,0))</f>
        <v>0</v>
      </c>
      <c r="I46" s="184" t="str">
        <f ca="1">IF(ISERROR($V46),"",OFFSET('Smelter Look-up'!$H$4,$V46-4,0))</f>
        <v>Tokyo</v>
      </c>
      <c r="J46" s="184" t="str">
        <f ca="1">IF(ISERROR($V46),"",OFFSET('Smelter Look-up'!$I$4,$V46-4,0))</f>
        <v>Tokyo</v>
      </c>
      <c r="K46" s="224"/>
      <c r="L46" s="224"/>
      <c r="M46" s="224"/>
      <c r="N46" s="224"/>
      <c r="O46" s="224"/>
      <c r="P46" s="185"/>
      <c r="Q46" s="225"/>
      <c r="R46" s="182" t="str">
        <f ca="1">IF(ISERROR($V46),"",OFFSET('Smelter Look-up'!$C$4,$V46-4,0)&amp;"")</f>
        <v>Mitsubishi Materials Corporation</v>
      </c>
      <c r="S46" s="181" t="str">
        <f t="shared" ca="1" si="5"/>
        <v>JP</v>
      </c>
      <c r="T46" s="181" t="str">
        <f ca="1">IF(B46="","",IF(ISERROR(MATCH($J46,SorP!$B$1:$B$6226,0)),"",INDIRECT("'SorP'!$A$"&amp;MATCH($S46&amp;$J46,SorP!C:C,0))))</f>
        <v>JP-13</v>
      </c>
      <c r="U46" s="201"/>
      <c r="V46" s="226">
        <f ca="1">IF(C46="",NA(),IF(OR(C46="Smelter not listed",C46="Smelter not yet identified"),MATCH($B46&amp;$D46,'Smelter Look-up'!$J:$J,0),MATCH($B46&amp;$C46,'Smelter Look-up'!$J:$J,0)))</f>
        <v>192</v>
      </c>
      <c r="X46" s="227">
        <f t="shared" ca="1" si="6"/>
        <v>0</v>
      </c>
      <c r="AB46" s="228" t="str">
        <f t="shared" ca="1" si="7"/>
        <v>GoldMitsubishi Materials Corporation</v>
      </c>
    </row>
    <row r="47" spans="1:28" s="227" customFormat="1" ht="20.25">
      <c r="A47" s="181" t="s">
        <v>705</v>
      </c>
      <c r="B47" s="182" t="str">
        <f ca="1">IF(LEN(A47)=0,"",INDEX('Smelter Look-up'!$A:$A,MATCH($A47,'Smelter Look-up'!$E:$E,0)))</f>
        <v>Gold</v>
      </c>
      <c r="C47" s="186" t="str">
        <f ca="1">IF(LEN(A47)=0,"",INDEX('Smelter Look-up'!$C:$C,MATCH($A47,'Smelter Look-up'!$E:$E,0)))</f>
        <v>Mitsui Mining and Smelting Co., Ltd.</v>
      </c>
      <c r="D47" s="230"/>
      <c r="E47" s="182" t="str">
        <f ca="1">IF(ISERROR($V47),"",OFFSET('Smelter Look-up'!$D$4,$V47-4,0)&amp;"")</f>
        <v>JAPAN</v>
      </c>
      <c r="F47" s="182" t="str">
        <f ca="1">IF(ISERROR($V47),"",OFFSET('Smelter Look-up'!$E$4,$V47-4,0))</f>
        <v>CID001193</v>
      </c>
      <c r="G47" s="182" t="str">
        <f ca="1">IF(C47=$X$4,IF(ISERROR($V47),"Enter smelter details","RMI"),IF(ISERROR($V47),"",OFFSET('Smelter Look-up'!$F$4,$V47-4,0)))</f>
        <v>RMI</v>
      </c>
      <c r="H47" s="183">
        <f ca="1">IF(ISERROR($V47),"",OFFSET('Smelter Look-up'!$G$4,$V47-4,0))</f>
        <v>0</v>
      </c>
      <c r="I47" s="184" t="str">
        <f ca="1">IF(ISERROR($V47),"",OFFSET('Smelter Look-up'!$H$4,$V47-4,0))</f>
        <v>Takehara</v>
      </c>
      <c r="J47" s="184" t="str">
        <f ca="1">IF(ISERROR($V47),"",OFFSET('Smelter Look-up'!$I$4,$V47-4,0))</f>
        <v>Hiroshima</v>
      </c>
      <c r="K47" s="224"/>
      <c r="L47" s="224"/>
      <c r="M47" s="224"/>
      <c r="N47" s="224"/>
      <c r="O47" s="224"/>
      <c r="P47" s="185"/>
      <c r="Q47" s="225"/>
      <c r="R47" s="182" t="str">
        <f ca="1">IF(ISERROR($V47),"",OFFSET('Smelter Look-up'!$C$4,$V47-4,0)&amp;"")</f>
        <v>Mitsui Mining and Smelting Co., Ltd.</v>
      </c>
      <c r="S47" s="181" t="str">
        <f t="shared" ca="1" si="5"/>
        <v>JP</v>
      </c>
      <c r="T47" s="181" t="str">
        <f ca="1">IF(B47="","",IF(ISERROR(MATCH($J47,SorP!$B$1:$B$6226,0)),"",INDIRECT("'SorP'!$A$"&amp;MATCH($S47&amp;$J47,SorP!C:C,0))))</f>
        <v>JP-34</v>
      </c>
      <c r="U47" s="201"/>
      <c r="V47" s="226">
        <f ca="1">IF(C47="",NA(),IF(OR(C47="Smelter not listed",C47="Smelter not yet identified"),MATCH($B47&amp;$D47,'Smelter Look-up'!$J:$J,0),MATCH($B47&amp;$C47,'Smelter Look-up'!$J:$J,0)))</f>
        <v>194</v>
      </c>
      <c r="X47" s="227">
        <f t="shared" ca="1" si="6"/>
        <v>0</v>
      </c>
      <c r="AB47" s="228" t="str">
        <f t="shared" ca="1" si="7"/>
        <v>GoldMitsui Mining and Smelting Co., Ltd.</v>
      </c>
    </row>
    <row r="48" spans="1:28" s="227" customFormat="1" ht="20.25">
      <c r="A48" s="181" t="s">
        <v>707</v>
      </c>
      <c r="B48" s="182" t="str">
        <f ca="1">IF(LEN(A48)=0,"",INDEX('Smelter Look-up'!$A:$A,MATCH($A48,'Smelter Look-up'!$E:$E,0)))</f>
        <v>Gold</v>
      </c>
      <c r="C48" s="186" t="str">
        <f ca="1">IF(LEN(A48)=0,"",INDEX('Smelter Look-up'!$C:$C,MATCH($A48,'Smelter Look-up'!$E:$E,0)))</f>
        <v>Nadir Metal Rafineri San. Ve Tic. A.S.</v>
      </c>
      <c r="D48" s="230"/>
      <c r="E48" s="182" t="str">
        <f ca="1">IF(ISERROR($V48),"",OFFSET('Smelter Look-up'!$D$4,$V48-4,0)&amp;"")</f>
        <v>TURKEY</v>
      </c>
      <c r="F48" s="182" t="str">
        <f ca="1">IF(ISERROR($V48),"",OFFSET('Smelter Look-up'!$E$4,$V48-4,0))</f>
        <v>CID001220</v>
      </c>
      <c r="G48" s="182" t="str">
        <f ca="1">IF(C48=$X$4,IF(ISERROR($V48),"Enter smelter details","RMI"),IF(ISERROR($V48),"",OFFSET('Smelter Look-up'!$F$4,$V48-4,0)))</f>
        <v>RMI</v>
      </c>
      <c r="H48" s="183">
        <f ca="1">IF(ISERROR($V48),"",OFFSET('Smelter Look-up'!$G$4,$V48-4,0))</f>
        <v>0</v>
      </c>
      <c r="I48" s="184" t="str">
        <f ca="1">IF(ISERROR($V48),"",OFFSET('Smelter Look-up'!$H$4,$V48-4,0))</f>
        <v>Bahçelievler</v>
      </c>
      <c r="J48" s="184" t="str">
        <f ca="1">IF(ISERROR($V48),"",OFFSET('Smelter Look-up'!$I$4,$V48-4,0))</f>
        <v>İstanbul</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 ca="1">IF(C48="",NA(),IF(OR(C48="Smelter not listed",C48="Smelter not yet identified"),MATCH($B48&amp;$D48,'Smelter Look-up'!$J:$J,0),MATCH($B48&amp;$C48,'Smelter Look-up'!$J:$J,0)))</f>
        <v>200</v>
      </c>
      <c r="X48" s="227">
        <f t="shared" ca="1" si="6"/>
        <v>0</v>
      </c>
      <c r="AB48" s="228" t="str">
        <f t="shared" ca="1" si="7"/>
        <v>GoldNadir Metal Rafineri San. Ve Tic. A.S.</v>
      </c>
    </row>
    <row r="49" spans="1:28" s="227" customFormat="1" ht="20.25">
      <c r="A49" s="181" t="s">
        <v>708</v>
      </c>
      <c r="B49" s="182" t="str">
        <f ca="1">IF(LEN(A49)=0,"",INDEX('Smelter Look-up'!$A:$A,MATCH($A49,'Smelter Look-up'!$E:$E,0)))</f>
        <v>Gold</v>
      </c>
      <c r="C49" s="186" t="str">
        <f ca="1">IF(LEN(A49)=0,"",INDEX('Smelter Look-up'!$C:$C,MATCH($A49,'Smelter Look-up'!$E:$E,0)))</f>
        <v>Navoi Mining and Metallurgical Combinat</v>
      </c>
      <c r="D49" s="230"/>
      <c r="E49" s="182" t="str">
        <f ca="1">IF(ISERROR($V49),"",OFFSET('Smelter Look-up'!$D$4,$V49-4,0)&amp;"")</f>
        <v>UZBEKISTAN</v>
      </c>
      <c r="F49" s="182" t="str">
        <f ca="1">IF(ISERROR($V49),"",OFFSET('Smelter Look-up'!$E$4,$V49-4,0))</f>
        <v>CID001236</v>
      </c>
      <c r="G49" s="182" t="str">
        <f ca="1">IF(C49=$X$4,IF(ISERROR($V49),"Enter smelter details","RMI"),IF(ISERROR($V49),"",OFFSET('Smelter Look-up'!$F$4,$V49-4,0)))</f>
        <v>RMI</v>
      </c>
      <c r="H49" s="183">
        <f ca="1">IF(ISERROR($V49),"",OFFSET('Smelter Look-up'!$G$4,$V49-4,0))</f>
        <v>0</v>
      </c>
      <c r="I49" s="184" t="str">
        <f ca="1">IF(ISERROR($V49),"",OFFSET('Smelter Look-up'!$H$4,$V49-4,0))</f>
        <v>Navoi</v>
      </c>
      <c r="J49" s="184" t="str">
        <f ca="1">IF(ISERROR($V49),"",OFFSET('Smelter Look-up'!$I$4,$V49-4,0))</f>
        <v>Navoiy</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 ca="1">IF(C49="",NA(),IF(OR(C49="Smelter not listed",C49="Smelter not yet identified"),MATCH($B49&amp;$D49,'Smelter Look-up'!$J:$J,0),MATCH($B49&amp;$C49,'Smelter Look-up'!$J:$J,0)))</f>
        <v>202</v>
      </c>
      <c r="X49" s="227">
        <f t="shared" ca="1" si="6"/>
        <v>0</v>
      </c>
      <c r="AB49" s="228" t="str">
        <f t="shared" ca="1" si="7"/>
        <v>GoldNavoi Mining and Metallurgical Combinat</v>
      </c>
    </row>
    <row r="50" spans="1:28" s="227" customFormat="1" ht="20.25">
      <c r="A50" s="181" t="s">
        <v>709</v>
      </c>
      <c r="B50" s="182" t="str">
        <f ca="1">IF(LEN(A50)=0,"",INDEX('Smelter Look-up'!$A:$A,MATCH($A50,'Smelter Look-up'!$E:$E,0)))</f>
        <v>Gold</v>
      </c>
      <c r="C50" s="186" t="str">
        <f ca="1">IF(LEN(A50)=0,"",INDEX('Smelter Look-up'!$C:$C,MATCH($A50,'Smelter Look-up'!$E:$E,0)))</f>
        <v>Nihon Material Co., Ltd.</v>
      </c>
      <c r="D50" s="230"/>
      <c r="E50" s="182" t="str">
        <f ca="1">IF(ISERROR($V50),"",OFFSET('Smelter Look-up'!$D$4,$V50-4,0)&amp;"")</f>
        <v>JAPAN</v>
      </c>
      <c r="F50" s="182" t="str">
        <f ca="1">IF(ISERROR($V50),"",OFFSET('Smelter Look-up'!$E$4,$V50-4,0))</f>
        <v>CID001259</v>
      </c>
      <c r="G50" s="182" t="str">
        <f ca="1">IF(C50=$X$4,IF(ISERROR($V50),"Enter smelter details","RMI"),IF(ISERROR($V50),"",OFFSET('Smelter Look-up'!$F$4,$V50-4,0)))</f>
        <v>RMI</v>
      </c>
      <c r="H50" s="183">
        <f ca="1">IF(ISERROR($V50),"",OFFSET('Smelter Look-up'!$G$4,$V50-4,0))</f>
        <v>0</v>
      </c>
      <c r="I50" s="184" t="str">
        <f ca="1">IF(ISERROR($V50),"",OFFSET('Smelter Look-up'!$H$4,$V50-4,0))</f>
        <v>Noda</v>
      </c>
      <c r="J50" s="184" t="str">
        <f ca="1">IF(ISERROR($V50),"",OFFSET('Smelter Look-up'!$I$4,$V50-4,0))</f>
        <v>Chiba</v>
      </c>
      <c r="K50" s="224"/>
      <c r="L50" s="224"/>
      <c r="M50" s="224"/>
      <c r="N50" s="224"/>
      <c r="O50" s="224"/>
      <c r="P50" s="185"/>
      <c r="Q50" s="225"/>
      <c r="R50" s="182" t="str">
        <f ca="1">IF(ISERROR($V50),"",OFFSET('Smelter Look-up'!$C$4,$V50-4,0)&amp;"")</f>
        <v>Nihon Material Co., Ltd.</v>
      </c>
      <c r="S50" s="181" t="str">
        <f t="shared" ca="1" si="5"/>
        <v>JP</v>
      </c>
      <c r="T50" s="181" t="str">
        <f ca="1">IF(B50="","",IF(ISERROR(MATCH($J50,SorP!$B$1:$B$6226,0)),"",INDIRECT("'SorP'!$A$"&amp;MATCH($S50&amp;$J50,SorP!C:C,0))))</f>
        <v>JP-12</v>
      </c>
      <c r="U50" s="201"/>
      <c r="V50" s="226">
        <f ca="1">IF(C50="",NA(),IF(OR(C50="Smelter not listed",C50="Smelter not yet identified"),MATCH($B50&amp;$D50,'Smelter Look-up'!$J:$J,0),MATCH($B50&amp;$C50,'Smelter Look-up'!$J:$J,0)))</f>
        <v>204</v>
      </c>
      <c r="X50" s="227">
        <f t="shared" ca="1" si="6"/>
        <v>0</v>
      </c>
      <c r="AB50" s="228" t="str">
        <f t="shared" ca="1" si="7"/>
        <v>GoldNihon Material Co., Ltd.</v>
      </c>
    </row>
    <row r="51" spans="1:28" s="227" customFormat="1" ht="20.25">
      <c r="A51" s="181" t="s">
        <v>710</v>
      </c>
      <c r="B51" s="182" t="str">
        <f ca="1">IF(LEN(A51)=0,"",INDEX('Smelter Look-up'!$A:$A,MATCH($A51,'Smelter Look-up'!$E:$E,0)))</f>
        <v>Gold</v>
      </c>
      <c r="C51" s="186" t="str">
        <f ca="1">IF(LEN(A51)=0,"",INDEX('Smelter Look-up'!$C:$C,MATCH($A51,'Smelter Look-up'!$E:$E,0)))</f>
        <v>Ohura Precious Metal Industry Co., Ltd.</v>
      </c>
      <c r="D51" s="230"/>
      <c r="E51" s="182" t="str">
        <f ca="1">IF(ISERROR($V51),"",OFFSET('Smelter Look-up'!$D$4,$V51-4,0)&amp;"")</f>
        <v>JAPAN</v>
      </c>
      <c r="F51" s="182" t="str">
        <f ca="1">IF(ISERROR($V51),"",OFFSET('Smelter Look-up'!$E$4,$V51-4,0))</f>
        <v>CID001325</v>
      </c>
      <c r="G51" s="182" t="str">
        <f ca="1">IF(C51=$X$4,IF(ISERROR($V51),"Enter smelter details","RMI"),IF(ISERROR($V51),"",OFFSET('Smelter Look-up'!$F$4,$V51-4,0)))</f>
        <v>RMI</v>
      </c>
      <c r="H51" s="183">
        <f ca="1">IF(ISERROR($V51),"",OFFSET('Smelter Look-up'!$G$4,$V51-4,0))</f>
        <v>0</v>
      </c>
      <c r="I51" s="184" t="str">
        <f ca="1">IF(ISERROR($V51),"",OFFSET('Smelter Look-up'!$H$4,$V51-4,0))</f>
        <v>Nara-shi</v>
      </c>
      <c r="J51" s="184" t="str">
        <f ca="1">IF(ISERROR($V51),"",OFFSET('Smelter Look-up'!$I$4,$V51-4,0))</f>
        <v>Nara</v>
      </c>
      <c r="K51" s="224"/>
      <c r="L51" s="224"/>
      <c r="M51" s="224"/>
      <c r="N51" s="224"/>
      <c r="O51" s="224"/>
      <c r="P51" s="185"/>
      <c r="Q51" s="225"/>
      <c r="R51" s="182" t="str">
        <f ca="1">IF(ISERROR($V51),"",OFFSET('Smelter Look-up'!$C$4,$V51-4,0)&amp;"")</f>
        <v>Ohura Precious Metal Industry Co., Ltd.</v>
      </c>
      <c r="S51" s="181" t="str">
        <f t="shared" ca="1" si="5"/>
        <v>JP</v>
      </c>
      <c r="T51" s="181" t="str">
        <f ca="1">IF(B51="","",IF(ISERROR(MATCH($J51,SorP!$B$1:$B$6226,0)),"",INDIRECT("'SorP'!$A$"&amp;MATCH($S51&amp;$J51,SorP!C:C,0))))</f>
        <v>JP-29</v>
      </c>
      <c r="U51" s="201"/>
      <c r="V51" s="226">
        <f ca="1">IF(C51="",NA(),IF(OR(C51="Smelter not listed",C51="Smelter not yet identified"),MATCH($B51&amp;$D51,'Smelter Look-up'!$J:$J,0),MATCH($B51&amp;$C51,'Smelter Look-up'!$J:$J,0)))</f>
        <v>210</v>
      </c>
      <c r="X51" s="227">
        <f t="shared" ca="1" si="6"/>
        <v>0</v>
      </c>
      <c r="AB51" s="228" t="str">
        <f t="shared" ca="1" si="7"/>
        <v>GoldOhura Precious Metal Industry Co., Ltd.</v>
      </c>
    </row>
    <row r="52" spans="1:28" s="227" customFormat="1" ht="20.25">
      <c r="A52" s="181" t="s">
        <v>712</v>
      </c>
      <c r="B52" s="182" t="str">
        <f ca="1">IF(LEN(A52)=0,"",INDEX('Smelter Look-up'!$A:$A,MATCH($A52,'Smelter Look-up'!$E:$E,0)))</f>
        <v>Gold</v>
      </c>
      <c r="C52" s="186" t="str">
        <f ca="1">IF(LEN(A52)=0,"",INDEX('Smelter Look-up'!$C:$C,MATCH($A52,'Smelter Look-up'!$E:$E,0)))</f>
        <v>MKS PAMP SA</v>
      </c>
      <c r="D52" s="230"/>
      <c r="E52" s="182" t="str">
        <f ca="1">IF(ISERROR($V52),"",OFFSET('Smelter Look-up'!$D$4,$V52-4,0)&amp;"")</f>
        <v>SWITZERLAND</v>
      </c>
      <c r="F52" s="182" t="str">
        <f ca="1">IF(ISERROR($V52),"",OFFSET('Smelter Look-up'!$E$4,$V52-4,0))</f>
        <v>CID001352</v>
      </c>
      <c r="G52" s="182" t="str">
        <f ca="1">IF(C52=$X$4,IF(ISERROR($V52),"Enter smelter details","RMI"),IF(ISERROR($V52),"",OFFSET('Smelter Look-up'!$F$4,$V52-4,0)))</f>
        <v>RMI</v>
      </c>
      <c r="H52" s="183">
        <f ca="1">IF(ISERROR($V52),"",OFFSET('Smelter Look-up'!$G$4,$V52-4,0))</f>
        <v>0</v>
      </c>
      <c r="I52" s="184" t="str">
        <f ca="1">IF(ISERROR($V52),"",OFFSET('Smelter Look-up'!$H$4,$V52-4,0))</f>
        <v>Geneva</v>
      </c>
      <c r="J52" s="184" t="str">
        <f ca="1">IF(ISERROR($V52),"",OFFSET('Smelter Look-up'!$I$4,$V52-4,0))</f>
        <v>Genève</v>
      </c>
      <c r="K52" s="224"/>
      <c r="L52" s="224"/>
      <c r="M52" s="224"/>
      <c r="N52" s="224"/>
      <c r="O52" s="224"/>
      <c r="P52" s="185"/>
      <c r="Q52" s="225"/>
      <c r="R52" s="182" t="str">
        <f ca="1">IF(ISERROR($V52),"",OFFSET('Smelter Look-up'!$C$4,$V52-4,0)&amp;"")</f>
        <v>MKS PAMP SA</v>
      </c>
      <c r="S52" s="181" t="str">
        <f t="shared" ca="1" si="5"/>
        <v>CH</v>
      </c>
      <c r="T52" s="181" t="str">
        <f ca="1">IF(B52="","",IF(ISERROR(MATCH($J52,SorP!$B$1:$B$6226,0)),"",INDIRECT("'SorP'!$A$"&amp;MATCH($S52&amp;$J52,SorP!C:C,0))))</f>
        <v>CH-GE</v>
      </c>
      <c r="U52" s="201"/>
      <c r="V52" s="226">
        <f ca="1">IF(C52="",NA(),IF(OR(C52="Smelter not listed",C52="Smelter not yet identified"),MATCH($B52&amp;$D52,'Smelter Look-up'!$J:$J,0),MATCH($B52&amp;$C52,'Smelter Look-up'!$J:$J,0)))</f>
        <v>195</v>
      </c>
      <c r="X52" s="227">
        <f t="shared" ca="1" si="6"/>
        <v>0</v>
      </c>
      <c r="AB52" s="228" t="str">
        <f t="shared" ca="1" si="7"/>
        <v>GoldMKS PAMP SA</v>
      </c>
    </row>
    <row r="53" spans="1:28" s="227" customFormat="1" ht="20.25">
      <c r="A53" s="181" t="s">
        <v>715</v>
      </c>
      <c r="B53" s="182" t="str">
        <f ca="1">IF(LEN(A53)=0,"",INDEX('Smelter Look-up'!$A:$A,MATCH($A53,'Smelter Look-up'!$E:$E,0)))</f>
        <v>Gold</v>
      </c>
      <c r="C53" s="186" t="str">
        <f ca="1">IF(LEN(A53)=0,"",INDEX('Smelter Look-up'!$C:$C,MATCH($A53,'Smelter Look-up'!$E:$E,0)))</f>
        <v>PT Aneka Tambang (Persero) Tbk</v>
      </c>
      <c r="D53" s="230"/>
      <c r="E53" s="182" t="str">
        <f ca="1">IF(ISERROR($V53),"",OFFSET('Smelter Look-up'!$D$4,$V53-4,0)&amp;"")</f>
        <v>INDONESIA</v>
      </c>
      <c r="F53" s="182" t="str">
        <f ca="1">IF(ISERROR($V53),"",OFFSET('Smelter Look-up'!$E$4,$V53-4,0))</f>
        <v>CID001397</v>
      </c>
      <c r="G53" s="182" t="str">
        <f ca="1">IF(C53=$X$4,IF(ISERROR($V53),"Enter smelter details","RMI"),IF(ISERROR($V53),"",OFFSET('Smelter Look-up'!$F$4,$V53-4,0)))</f>
        <v>RMI</v>
      </c>
      <c r="H53" s="183">
        <f ca="1">IF(ISERROR($V53),"",OFFSET('Smelter Look-up'!$G$4,$V53-4,0))</f>
        <v>0</v>
      </c>
      <c r="I53" s="184" t="str">
        <f ca="1">IF(ISERROR($V53),"",OFFSET('Smelter Look-up'!$H$4,$V53-4,0))</f>
        <v>Jakarta</v>
      </c>
      <c r="J53" s="184" t="str">
        <f ca="1">IF(ISERROR($V53),"",OFFSET('Smelter Look-up'!$I$4,$V53-4,0))</f>
        <v>Jakarta Raya</v>
      </c>
      <c r="K53" s="224"/>
      <c r="L53" s="224"/>
      <c r="M53" s="224"/>
      <c r="N53" s="224"/>
      <c r="O53" s="224"/>
      <c r="P53" s="185"/>
      <c r="Q53" s="225"/>
      <c r="R53" s="182" t="str">
        <f ca="1">IF(ISERROR($V53),"",OFFSET('Smelter Look-up'!$C$4,$V53-4,0)&amp;"")</f>
        <v>PT Aneka Tambang (Persero) Tbk</v>
      </c>
      <c r="S53" s="181" t="str">
        <f t="shared" ca="1" si="5"/>
        <v>ID</v>
      </c>
      <c r="T53" s="181" t="str">
        <f ca="1">IF(B53="","",IF(ISERROR(MATCH($J53,SorP!$B$1:$B$6226,0)),"",INDIRECT("'SorP'!$A$"&amp;MATCH($S53&amp;$J53,SorP!C:C,0))))</f>
        <v>ID-JK</v>
      </c>
      <c r="U53" s="201"/>
      <c r="V53" s="226">
        <f ca="1">IF(C53="",NA(),IF(OR(C53="Smelter not listed",C53="Smelter not yet identified"),MATCH($B53&amp;$D53,'Smelter Look-up'!$J:$J,0),MATCH($B53&amp;$C53,'Smelter Look-up'!$J:$J,0)))</f>
        <v>223</v>
      </c>
      <c r="X53" s="227">
        <f t="shared" ca="1" si="6"/>
        <v>0</v>
      </c>
      <c r="AB53" s="228" t="str">
        <f t="shared" ca="1" si="7"/>
        <v>GoldPT Aneka Tambang (Persero) Tbk</v>
      </c>
    </row>
    <row r="54" spans="1:28" s="227" customFormat="1" ht="20.25">
      <c r="A54" s="181" t="s">
        <v>716</v>
      </c>
      <c r="B54" s="182" t="str">
        <f ca="1">IF(LEN(A54)=0,"",INDEX('Smelter Look-up'!$A:$A,MATCH($A54,'Smelter Look-up'!$E:$E,0)))</f>
        <v>Gold</v>
      </c>
      <c r="C54" s="186" t="str">
        <f ca="1">IF(LEN(A54)=0,"",INDEX('Smelter Look-up'!$C:$C,MATCH($A54,'Smelter Look-up'!$E:$E,0)))</f>
        <v>PX Precinox S.A.</v>
      </c>
      <c r="D54" s="230"/>
      <c r="E54" s="182" t="str">
        <f ca="1">IF(ISERROR($V54),"",OFFSET('Smelter Look-up'!$D$4,$V54-4,0)&amp;"")</f>
        <v>SWITZERLAND</v>
      </c>
      <c r="F54" s="182" t="str">
        <f ca="1">IF(ISERROR($V54),"",OFFSET('Smelter Look-up'!$E$4,$V54-4,0))</f>
        <v>CID001498</v>
      </c>
      <c r="G54" s="182" t="str">
        <f ca="1">IF(C54=$X$4,IF(ISERROR($V54),"Enter smelter details","RMI"),IF(ISERROR($V54),"",OFFSET('Smelter Look-up'!$F$4,$V54-4,0)))</f>
        <v>RMI</v>
      </c>
      <c r="H54" s="183">
        <f ca="1">IF(ISERROR($V54),"",OFFSET('Smelter Look-up'!$G$4,$V54-4,0))</f>
        <v>0</v>
      </c>
      <c r="I54" s="184" t="str">
        <f ca="1">IF(ISERROR($V54),"",OFFSET('Smelter Look-up'!$H$4,$V54-4,0))</f>
        <v>La Chaux-de-Fonds</v>
      </c>
      <c r="J54" s="184" t="str">
        <f ca="1">IF(ISERROR($V54),"",OFFSET('Smelter Look-up'!$I$4,$V54-4,0))</f>
        <v>Neuchâtel</v>
      </c>
      <c r="K54" s="224"/>
      <c r="L54" s="224"/>
      <c r="M54" s="224"/>
      <c r="N54" s="224"/>
      <c r="O54" s="224"/>
      <c r="P54" s="185"/>
      <c r="Q54" s="225"/>
      <c r="R54" s="182" t="str">
        <f ca="1">IF(ISERROR($V54),"",OFFSET('Smelter Look-up'!$C$4,$V54-4,0)&amp;"")</f>
        <v>PX Precinox S.A.</v>
      </c>
      <c r="S54" s="181" t="str">
        <f t="shared" ca="1" si="5"/>
        <v>CH</v>
      </c>
      <c r="T54" s="181" t="str">
        <f ca="1">IF(B54="","",IF(ISERROR(MATCH($J54,SorP!$B$1:$B$6226,0)),"",INDIRECT("'SorP'!$A$"&amp;MATCH($S54&amp;$J54,SorP!C:C,0))))</f>
        <v>CH-NE</v>
      </c>
      <c r="U54" s="201"/>
      <c r="V54" s="226">
        <f ca="1">IF(C54="",NA(),IF(OR(C54="Smelter not listed",C54="Smelter not yet identified"),MATCH($B54&amp;$D54,'Smelter Look-up'!$J:$J,0),MATCH($B54&amp;$C54,'Smelter Look-up'!$J:$J,0)))</f>
        <v>224</v>
      </c>
      <c r="X54" s="227">
        <f t="shared" ca="1" si="6"/>
        <v>0</v>
      </c>
      <c r="AB54" s="228" t="str">
        <f t="shared" ca="1" si="7"/>
        <v>GoldPX Precinox S.A.</v>
      </c>
    </row>
    <row r="55" spans="1:28" s="227" customFormat="1" ht="20.25">
      <c r="A55" s="181" t="s">
        <v>717</v>
      </c>
      <c r="B55" s="182" t="str">
        <f ca="1">IF(LEN(A55)=0,"",INDEX('Smelter Look-up'!$A:$A,MATCH($A55,'Smelter Look-up'!$E:$E,0)))</f>
        <v>Gold</v>
      </c>
      <c r="C55" s="186" t="str">
        <f ca="1">IF(LEN(A55)=0,"",INDEX('Smelter Look-up'!$C:$C,MATCH($A55,'Smelter Look-up'!$E:$E,0)))</f>
        <v>Rand Refinery (Pty) Ltd.</v>
      </c>
      <c r="D55" s="230"/>
      <c r="E55" s="182" t="str">
        <f ca="1">IF(ISERROR($V55),"",OFFSET('Smelter Look-up'!$D$4,$V55-4,0)&amp;"")</f>
        <v>SOUTH AFRICA</v>
      </c>
      <c r="F55" s="182" t="str">
        <f ca="1">IF(ISERROR($V55),"",OFFSET('Smelter Look-up'!$E$4,$V55-4,0))</f>
        <v>CID001512</v>
      </c>
      <c r="G55" s="182" t="str">
        <f ca="1">IF(C55=$X$4,IF(ISERROR($V55),"Enter smelter details","RMI"),IF(ISERROR($V55),"",OFFSET('Smelter Look-up'!$F$4,$V55-4,0)))</f>
        <v>RMI</v>
      </c>
      <c r="H55" s="183">
        <f ca="1">IF(ISERROR($V55),"",OFFSET('Smelter Look-up'!$G$4,$V55-4,0))</f>
        <v>0</v>
      </c>
      <c r="I55" s="184" t="str">
        <f ca="1">IF(ISERROR($V55),"",OFFSET('Smelter Look-up'!$H$4,$V55-4,0))</f>
        <v>Germiston</v>
      </c>
      <c r="J55" s="184" t="str">
        <f ca="1">IF(ISERROR($V55),"",OFFSET('Smelter Look-up'!$I$4,$V55-4,0))</f>
        <v>Gauteng</v>
      </c>
      <c r="K55" s="224"/>
      <c r="L55" s="224"/>
      <c r="M55" s="224"/>
      <c r="N55" s="224"/>
      <c r="O55" s="224"/>
      <c r="P55" s="185"/>
      <c r="Q55" s="225"/>
      <c r="R55" s="182" t="str">
        <f ca="1">IF(ISERROR($V55),"",OFFSET('Smelter Look-up'!$C$4,$V55-4,0)&amp;"")</f>
        <v>Rand Refinery (Pty) Ltd.</v>
      </c>
      <c r="S55" s="181" t="str">
        <f t="shared" ca="1" si="5"/>
        <v>ZA</v>
      </c>
      <c r="T55" s="181" t="str">
        <f ca="1">IF(B55="","",IF(ISERROR(MATCH($J55,SorP!$B$1:$B$6226,0)),"",INDIRECT("'SorP'!$A$"&amp;MATCH($S55&amp;$J55,SorP!C:C,0))))</f>
        <v>ZA-GP</v>
      </c>
      <c r="U55" s="201"/>
      <c r="V55" s="226">
        <f ca="1">IF(C55="",NA(),IF(OR(C55="Smelter not listed",C55="Smelter not yet identified"),MATCH($B55&amp;$D55,'Smelter Look-up'!$J:$J,0),MATCH($B55&amp;$C55,'Smelter Look-up'!$J:$J,0)))</f>
        <v>227</v>
      </c>
      <c r="X55" s="227">
        <f t="shared" ca="1" si="6"/>
        <v>0</v>
      </c>
      <c r="AB55" s="228" t="str">
        <f t="shared" ca="1" si="7"/>
        <v>GoldRand Refinery (Pty) Ltd.</v>
      </c>
    </row>
    <row r="56" spans="1:28" s="227" customFormat="1" ht="20.25">
      <c r="A56" s="181" t="s">
        <v>718</v>
      </c>
      <c r="B56" s="182" t="str">
        <f ca="1">IF(LEN(A56)=0,"",INDEX('Smelter Look-up'!$A:$A,MATCH($A56,'Smelter Look-up'!$E:$E,0)))</f>
        <v>Gold</v>
      </c>
      <c r="C56" s="186" t="str">
        <f ca="1">IF(LEN(A56)=0,"",INDEX('Smelter Look-up'!$C:$C,MATCH($A56,'Smelter Look-up'!$E:$E,0)))</f>
        <v>Royal Canadian Mint</v>
      </c>
      <c r="D56" s="230"/>
      <c r="E56" s="182" t="str">
        <f ca="1">IF(ISERROR($V56),"",OFFSET('Smelter Look-up'!$D$4,$V56-4,0)&amp;"")</f>
        <v>CANADA</v>
      </c>
      <c r="F56" s="182" t="str">
        <f ca="1">IF(ISERROR($V56),"",OFFSET('Smelter Look-up'!$E$4,$V56-4,0))</f>
        <v>CID001534</v>
      </c>
      <c r="G56" s="182" t="str">
        <f ca="1">IF(C56=$X$4,IF(ISERROR($V56),"Enter smelter details","RMI"),IF(ISERROR($V56),"",OFFSET('Smelter Look-up'!$F$4,$V56-4,0)))</f>
        <v>RMI</v>
      </c>
      <c r="H56" s="183">
        <f ca="1">IF(ISERROR($V56),"",OFFSET('Smelter Look-up'!$G$4,$V56-4,0))</f>
        <v>0</v>
      </c>
      <c r="I56" s="184" t="str">
        <f ca="1">IF(ISERROR($V56),"",OFFSET('Smelter Look-up'!$H$4,$V56-4,0))</f>
        <v>Ottawa</v>
      </c>
      <c r="J56" s="184" t="str">
        <f ca="1">IF(ISERROR($V56),"",OFFSET('Smelter Look-up'!$I$4,$V56-4,0))</f>
        <v>Ontario</v>
      </c>
      <c r="K56" s="224"/>
      <c r="L56" s="224"/>
      <c r="M56" s="224"/>
      <c r="N56" s="224"/>
      <c r="O56" s="224"/>
      <c r="P56" s="185"/>
      <c r="Q56" s="225"/>
      <c r="R56" s="182" t="str">
        <f ca="1">IF(ISERROR($V56),"",OFFSET('Smelter Look-up'!$C$4,$V56-4,0)&amp;"")</f>
        <v>Royal Canadian Mint</v>
      </c>
      <c r="S56" s="181" t="str">
        <f t="shared" ca="1" si="5"/>
        <v>CA</v>
      </c>
      <c r="T56" s="181" t="str">
        <f ca="1">IF(B56="","",IF(ISERROR(MATCH($J56,SorP!$B$1:$B$6226,0)),"",INDIRECT("'SorP'!$A$"&amp;MATCH($S56&amp;$J56,SorP!C:C,0))))</f>
        <v>CA-ON</v>
      </c>
      <c r="U56" s="201"/>
      <c r="V56" s="226">
        <f ca="1">IF(C56="",NA(),IF(OR(C56="Smelter not listed",C56="Smelter not yet identified"),MATCH($B56&amp;$D56,'Smelter Look-up'!$J:$J,0),MATCH($B56&amp;$C56,'Smelter Look-up'!$J:$J,0)))</f>
        <v>232</v>
      </c>
      <c r="X56" s="227">
        <f t="shared" ca="1" si="6"/>
        <v>0</v>
      </c>
      <c r="AB56" s="228" t="str">
        <f t="shared" ca="1" si="7"/>
        <v>GoldRoyal Canadian Mint</v>
      </c>
    </row>
    <row r="57" spans="1:28" s="227" customFormat="1" ht="20.25">
      <c r="A57" s="181" t="s">
        <v>721</v>
      </c>
      <c r="B57" s="182" t="str">
        <f ca="1">IF(LEN(A57)=0,"",INDEX('Smelter Look-up'!$A:$A,MATCH($A57,'Smelter Look-up'!$E:$E,0)))</f>
        <v>Gold</v>
      </c>
      <c r="C57" s="186" t="str">
        <f ca="1">IF(LEN(A57)=0,"",INDEX('Smelter Look-up'!$C:$C,MATCH($A57,'Smelter Look-up'!$E:$E,0)))</f>
        <v>SEMPSA Joyeria Plateria S.A.</v>
      </c>
      <c r="D57" s="230"/>
      <c r="E57" s="182" t="str">
        <f ca="1">IF(ISERROR($V57),"",OFFSET('Smelter Look-up'!$D$4,$V57-4,0)&amp;"")</f>
        <v>SPAIN</v>
      </c>
      <c r="F57" s="182" t="str">
        <f ca="1">IF(ISERROR($V57),"",OFFSET('Smelter Look-up'!$E$4,$V57-4,0))</f>
        <v>CID001585</v>
      </c>
      <c r="G57" s="182" t="str">
        <f ca="1">IF(C57=$X$4,IF(ISERROR($V57),"Enter smelter details","RMI"),IF(ISERROR($V57),"",OFFSET('Smelter Look-up'!$F$4,$V57-4,0)))</f>
        <v>RMI</v>
      </c>
      <c r="H57" s="183">
        <f ca="1">IF(ISERROR($V57),"",OFFSET('Smelter Look-up'!$G$4,$V57-4,0))</f>
        <v>0</v>
      </c>
      <c r="I57" s="184" t="str">
        <f ca="1">IF(ISERROR($V57),"",OFFSET('Smelter Look-up'!$H$4,$V57-4,0))</f>
        <v>Madrid</v>
      </c>
      <c r="J57" s="184" t="str">
        <f ca="1">IF(ISERROR($V57),"",OFFSET('Smelter Look-up'!$I$4,$V57-4,0))</f>
        <v>Madrid, Comunidad de</v>
      </c>
      <c r="K57" s="224"/>
      <c r="L57" s="224"/>
      <c r="M57" s="224"/>
      <c r="N57" s="224"/>
      <c r="O57" s="224"/>
      <c r="P57" s="185"/>
      <c r="Q57" s="225"/>
      <c r="R57" s="182" t="str">
        <f ca="1">IF(ISERROR($V57),"",OFFSET('Smelter Look-up'!$C$4,$V57-4,0)&amp;"")</f>
        <v>SEMPSA Joyeria Plateria S.A.</v>
      </c>
      <c r="S57" s="181" t="str">
        <f t="shared" ca="1" si="5"/>
        <v>ES</v>
      </c>
      <c r="T57" s="181" t="str">
        <f ca="1">IF(B57="","",IF(ISERROR(MATCH($J57,SorP!$B$1:$B$6226,0)),"",INDIRECT("'SorP'!$A$"&amp;MATCH($S57&amp;$J57,SorP!C:C,0))))</f>
        <v>ES-MD</v>
      </c>
      <c r="U57" s="201"/>
      <c r="V57" s="226">
        <f ca="1">IF(C57="",NA(),IF(OR(C57="Smelter not listed",C57="Smelter not yet identified"),MATCH($B57&amp;$D57,'Smelter Look-up'!$J:$J,0),MATCH($B57&amp;$C57,'Smelter Look-up'!$J:$J,0)))</f>
        <v>244</v>
      </c>
      <c r="X57" s="227">
        <f t="shared" ca="1" si="6"/>
        <v>0</v>
      </c>
      <c r="AB57" s="228" t="str">
        <f t="shared" ca="1" si="7"/>
        <v>GoldSEMPSA Joyeria Plateria S.A.</v>
      </c>
    </row>
    <row r="58" spans="1:28" s="227" customFormat="1" ht="20.25">
      <c r="A58" s="181" t="s">
        <v>1380</v>
      </c>
      <c r="B58" s="182" t="str">
        <f ca="1">IF(LEN(A58)=0,"",INDEX('Smelter Look-up'!$A:$A,MATCH($A58,'Smelter Look-up'!$E:$E,0)))</f>
        <v>Gold</v>
      </c>
      <c r="C58" s="186" t="str">
        <f ca="1">IF(LEN(A58)=0,"",INDEX('Smelter Look-up'!$C:$C,MATCH($A58,'Smelter Look-up'!$E:$E,0)))</f>
        <v>Sichuan Tianze Precious Metals Co., Ltd.</v>
      </c>
      <c r="D58" s="230"/>
      <c r="E58" s="182" t="str">
        <f ca="1">IF(ISERROR($V58),"",OFFSET('Smelter Look-up'!$D$4,$V58-4,0)&amp;"")</f>
        <v>CHINA</v>
      </c>
      <c r="F58" s="182" t="str">
        <f ca="1">IF(ISERROR($V58),"",OFFSET('Smelter Look-up'!$E$4,$V58-4,0))</f>
        <v>CID001736</v>
      </c>
      <c r="G58" s="182" t="str">
        <f ca="1">IF(C58=$X$4,IF(ISERROR($V58),"Enter smelter details","RMI"),IF(ISERROR($V58),"",OFFSET('Smelter Look-up'!$F$4,$V58-4,0)))</f>
        <v>RMI</v>
      </c>
      <c r="H58" s="183">
        <f ca="1">IF(ISERROR($V58),"",OFFSET('Smelter Look-up'!$G$4,$V58-4,0))</f>
        <v>0</v>
      </c>
      <c r="I58" s="184" t="str">
        <f ca="1">IF(ISERROR($V58),"",OFFSET('Smelter Look-up'!$H$4,$V58-4,0))</f>
        <v>Chengdu</v>
      </c>
      <c r="J58" s="184" t="str">
        <f ca="1">IF(ISERROR($V58),"",OFFSET('Smelter Look-up'!$I$4,$V58-4,0))</f>
        <v>Sichuan Sheng</v>
      </c>
      <c r="K58" s="224"/>
      <c r="L58" s="224"/>
      <c r="M58" s="224"/>
      <c r="N58" s="224"/>
      <c r="O58" s="224"/>
      <c r="P58" s="185"/>
      <c r="Q58" s="225"/>
      <c r="R58" s="182" t="str">
        <f ca="1">IF(ISERROR($V58),"",OFFSET('Smelter Look-up'!$C$4,$V58-4,0)&amp;"")</f>
        <v>Sichuan Tianze Precious Metals Co., Ltd.</v>
      </c>
      <c r="S58" s="181" t="str">
        <f t="shared" ca="1" si="5"/>
        <v>CN</v>
      </c>
      <c r="T58" s="181" t="str">
        <f ca="1">IF(B58="","",IF(ISERROR(MATCH($J58,SorP!$B$1:$B$6226,0)),"",INDIRECT("'SorP'!$A$"&amp;MATCH($S58&amp;$J58,SorP!C:C,0))))</f>
        <v>CN-SC</v>
      </c>
      <c r="U58" s="201"/>
      <c r="V58" s="226">
        <f ca="1">IF(C58="",NA(),IF(OR(C58="Smelter not listed",C58="Smelter not yet identified"),MATCH($B58&amp;$D58,'Smelter Look-up'!$J:$J,0),MATCH($B58&amp;$C58,'Smelter Look-up'!$J:$J,0)))</f>
        <v>264</v>
      </c>
      <c r="X58" s="227">
        <f t="shared" ca="1" si="6"/>
        <v>0</v>
      </c>
      <c r="AB58" s="228" t="str">
        <f t="shared" ca="1" si="7"/>
        <v>GoldSichuan Tianze Precious Metals Co., Ltd.</v>
      </c>
    </row>
    <row r="59" spans="1:28" s="227" customFormat="1" ht="20.25">
      <c r="A59" s="181" t="s">
        <v>724</v>
      </c>
      <c r="B59" s="182" t="str">
        <f ca="1">IF(LEN(A59)=0,"",INDEX('Smelter Look-up'!$A:$A,MATCH($A59,'Smelter Look-up'!$E:$E,0)))</f>
        <v>Gold</v>
      </c>
      <c r="C59" s="186" t="str">
        <f ca="1">IF(LEN(A59)=0,"",INDEX('Smelter Look-up'!$C:$C,MATCH($A59,'Smelter Look-up'!$E:$E,0)))</f>
        <v>Solar Applied Materials Technology Corp.</v>
      </c>
      <c r="D59" s="230"/>
      <c r="E59" s="182" t="str">
        <f ca="1">IF(ISERROR($V59),"",OFFSET('Smelter Look-up'!$D$4,$V59-4,0)&amp;"")</f>
        <v>TAIWAN, PROVINCE OF CHINA</v>
      </c>
      <c r="F59" s="182" t="str">
        <f ca="1">IF(ISERROR($V59),"",OFFSET('Smelter Look-up'!$E$4,$V59-4,0))</f>
        <v>CID001761</v>
      </c>
      <c r="G59" s="182" t="str">
        <f ca="1">IF(C59=$X$4,IF(ISERROR($V59),"Enter smelter details","RMI"),IF(ISERROR($V59),"",OFFSET('Smelter Look-up'!$F$4,$V59-4,0)))</f>
        <v>RMI</v>
      </c>
      <c r="H59" s="183">
        <f ca="1">IF(ISERROR($V59),"",OFFSET('Smelter Look-up'!$G$4,$V59-4,0))</f>
        <v>0</v>
      </c>
      <c r="I59" s="184" t="str">
        <f ca="1">IF(ISERROR($V59),"",OFFSET('Smelter Look-up'!$H$4,$V59-4,0))</f>
        <v>Tainan City</v>
      </c>
      <c r="J59" s="184" t="str">
        <f ca="1">IF(ISERROR($V59),"",OFFSET('Smelter Look-up'!$I$4,$V59-4,0))</f>
        <v>Tainan</v>
      </c>
      <c r="K59" s="224"/>
      <c r="L59" s="224"/>
      <c r="M59" s="224"/>
      <c r="N59" s="224"/>
      <c r="O59" s="224"/>
      <c r="P59" s="185"/>
      <c r="Q59" s="225"/>
      <c r="R59" s="182" t="str">
        <f ca="1">IF(ISERROR($V59),"",OFFSET('Smelter Look-up'!$C$4,$V59-4,0)&amp;"")</f>
        <v>Solar Applied Materials Technology Corp.</v>
      </c>
      <c r="S59" s="181" t="str">
        <f t="shared" ca="1" si="5"/>
        <v>TW</v>
      </c>
      <c r="T59" s="181" t="str">
        <f ca="1">IF(B59="","",IF(ISERROR(MATCH($J59,SorP!$B$1:$B$6226,0)),"",INDIRECT("'SorP'!$A$"&amp;MATCH($S59&amp;$J59,SorP!C:C,0))))</f>
        <v>TW-TNN</v>
      </c>
      <c r="U59" s="201"/>
      <c r="V59" s="226">
        <f ca="1">IF(C59="",NA(),IF(OR(C59="Smelter not listed",C59="Smelter not yet identified"),MATCH($B59&amp;$D59,'Smelter Look-up'!$J:$J,0),MATCH($B59&amp;$C59,'Smelter Look-up'!$J:$J,0)))</f>
        <v>269</v>
      </c>
      <c r="X59" s="227">
        <f t="shared" ca="1" si="6"/>
        <v>0</v>
      </c>
      <c r="AB59" s="228" t="str">
        <f t="shared" ca="1" si="7"/>
        <v>GoldSolar Applied Materials Technology Corp.</v>
      </c>
    </row>
    <row r="60" spans="1:28" s="227" customFormat="1" ht="20.25">
      <c r="A60" s="181" t="s">
        <v>725</v>
      </c>
      <c r="B60" s="182" t="str">
        <f ca="1">IF(LEN(A60)=0,"",INDEX('Smelter Look-up'!$A:$A,MATCH($A60,'Smelter Look-up'!$E:$E,0)))</f>
        <v>Gold</v>
      </c>
      <c r="C60" s="186" t="str">
        <f ca="1">IF(LEN(A60)=0,"",INDEX('Smelter Look-up'!$C:$C,MATCH($A60,'Smelter Look-up'!$E:$E,0)))</f>
        <v>Sumitomo Metal Mining Co., Ltd.</v>
      </c>
      <c r="D60" s="230"/>
      <c r="E60" s="182" t="str">
        <f ca="1">IF(ISERROR($V60),"",OFFSET('Smelter Look-up'!$D$4,$V60-4,0)&amp;"")</f>
        <v>JAPAN</v>
      </c>
      <c r="F60" s="182" t="str">
        <f ca="1">IF(ISERROR($V60),"",OFFSET('Smelter Look-up'!$E$4,$V60-4,0))</f>
        <v>CID001798</v>
      </c>
      <c r="G60" s="182" t="str">
        <f ca="1">IF(C60=$X$4,IF(ISERROR($V60),"Enter smelter details","RMI"),IF(ISERROR($V60),"",OFFSET('Smelter Look-up'!$F$4,$V60-4,0)))</f>
        <v>RMI</v>
      </c>
      <c r="H60" s="183">
        <f ca="1">IF(ISERROR($V60),"",OFFSET('Smelter Look-up'!$G$4,$V60-4,0))</f>
        <v>0</v>
      </c>
      <c r="I60" s="184" t="str">
        <f ca="1">IF(ISERROR($V60),"",OFFSET('Smelter Look-up'!$H$4,$V60-4,0))</f>
        <v>Saijo</v>
      </c>
      <c r="J60" s="184" t="str">
        <f ca="1">IF(ISERROR($V60),"",OFFSET('Smelter Look-up'!$I$4,$V60-4,0))</f>
        <v>Ehime</v>
      </c>
      <c r="K60" s="224"/>
      <c r="L60" s="224"/>
      <c r="M60" s="224"/>
      <c r="N60" s="224"/>
      <c r="O60" s="224"/>
      <c r="P60" s="185"/>
      <c r="Q60" s="225"/>
      <c r="R60" s="182" t="str">
        <f ca="1">IF(ISERROR($V60),"",OFFSET('Smelter Look-up'!$C$4,$V60-4,0)&amp;"")</f>
        <v>Sumitomo Metal Mining Co., Ltd.</v>
      </c>
      <c r="S60" s="181" t="str">
        <f t="shared" ca="1" si="5"/>
        <v>JP</v>
      </c>
      <c r="T60" s="181" t="str">
        <f ca="1">IF(B60="","",IF(ISERROR(MATCH($J60,SorP!$B$1:$B$6226,0)),"",INDIRECT("'SorP'!$A$"&amp;MATCH($S60&amp;$J60,SorP!C:C,0))))</f>
        <v>JP-38</v>
      </c>
      <c r="U60" s="201"/>
      <c r="V60" s="226">
        <f ca="1">IF(C60="",NA(),IF(OR(C60="Smelter not listed",C60="Smelter not yet identified"),MATCH($B60&amp;$D60,'Smelter Look-up'!$J:$J,0),MATCH($B60&amp;$C60,'Smelter Look-up'!$J:$J,0)))</f>
        <v>276</v>
      </c>
      <c r="X60" s="227">
        <f t="shared" ca="1" si="6"/>
        <v>0</v>
      </c>
      <c r="AB60" s="228" t="str">
        <f t="shared" ca="1" si="7"/>
        <v>GoldSumitomo Metal Mining Co., Ltd.</v>
      </c>
    </row>
    <row r="61" spans="1:28" s="227" customFormat="1" ht="20.25">
      <c r="A61" s="181" t="s">
        <v>726</v>
      </c>
      <c r="B61" s="182" t="str">
        <f ca="1">IF(LEN(A61)=0,"",INDEX('Smelter Look-up'!$A:$A,MATCH($A61,'Smelter Look-up'!$E:$E,0)))</f>
        <v>Gold</v>
      </c>
      <c r="C61" s="186" t="str">
        <f ca="1">IF(LEN(A61)=0,"",INDEX('Smelter Look-up'!$C:$C,MATCH($A61,'Smelter Look-up'!$E:$E,0)))</f>
        <v>Tanaka Kikinzoku Kogyo K.K.</v>
      </c>
      <c r="D61" s="230"/>
      <c r="E61" s="182" t="str">
        <f ca="1">IF(ISERROR($V61),"",OFFSET('Smelter Look-up'!$D$4,$V61-4,0)&amp;"")</f>
        <v>JAPAN</v>
      </c>
      <c r="F61" s="182" t="str">
        <f ca="1">IF(ISERROR($V61),"",OFFSET('Smelter Look-up'!$E$4,$V61-4,0))</f>
        <v>CID001875</v>
      </c>
      <c r="G61" s="182" t="str">
        <f ca="1">IF(C61=$X$4,IF(ISERROR($V61),"Enter smelter details","RMI"),IF(ISERROR($V61),"",OFFSET('Smelter Look-up'!$F$4,$V61-4,0)))</f>
        <v>RMI</v>
      </c>
      <c r="H61" s="183">
        <f ca="1">IF(ISERROR($V61),"",OFFSET('Smelter Look-up'!$G$4,$V61-4,0))</f>
        <v>0</v>
      </c>
      <c r="I61" s="184" t="str">
        <f ca="1">IF(ISERROR($V61),"",OFFSET('Smelter Look-up'!$H$4,$V61-4,0))</f>
        <v>Hiratsuka</v>
      </c>
      <c r="J61" s="184" t="str">
        <f ca="1">IF(ISERROR($V61),"",OFFSET('Smelter Look-up'!$I$4,$V61-4,0))</f>
        <v>Kanagawa</v>
      </c>
      <c r="K61" s="224"/>
      <c r="L61" s="224"/>
      <c r="M61" s="224"/>
      <c r="N61" s="224"/>
      <c r="O61" s="224"/>
      <c r="P61" s="185"/>
      <c r="Q61" s="225"/>
      <c r="R61" s="182" t="str">
        <f ca="1">IF(ISERROR($V61),"",OFFSET('Smelter Look-up'!$C$4,$V61-4,0)&amp;"")</f>
        <v>Tanaka Kikinzoku Kogyo K.K.</v>
      </c>
      <c r="S61" s="181" t="str">
        <f t="shared" ca="1" si="5"/>
        <v>JP</v>
      </c>
      <c r="T61" s="181" t="str">
        <f ca="1">IF(B61="","",IF(ISERROR(MATCH($J61,SorP!$B$1:$B$6226,0)),"",INDIRECT("'SorP'!$A$"&amp;MATCH($S61&amp;$J61,SorP!C:C,0))))</f>
        <v>JP-14</v>
      </c>
      <c r="U61" s="201"/>
      <c r="V61" s="226">
        <f ca="1">IF(C61="",NA(),IF(OR(C61="Smelter not listed",C61="Smelter not yet identified"),MATCH($B61&amp;$D61,'Smelter Look-up'!$J:$J,0),MATCH($B61&amp;$C61,'Smelter Look-up'!$J:$J,0)))</f>
        <v>289</v>
      </c>
      <c r="X61" s="227">
        <f t="shared" ca="1" si="6"/>
        <v>0</v>
      </c>
      <c r="AB61" s="228" t="str">
        <f t="shared" ca="1" si="7"/>
        <v>GoldTanaka Kikinzoku Kogyo K.K.</v>
      </c>
    </row>
    <row r="62" spans="1:28" s="227" customFormat="1" ht="20.25">
      <c r="A62" s="181" t="s">
        <v>729</v>
      </c>
      <c r="B62" s="182" t="str">
        <f ca="1">IF(LEN(A62)=0,"",INDEX('Smelter Look-up'!$A:$A,MATCH($A62,'Smelter Look-up'!$E:$E,0)))</f>
        <v>Gold</v>
      </c>
      <c r="C62" s="186" t="str">
        <f ca="1">IF(LEN(A62)=0,"",INDEX('Smelter Look-up'!$C:$C,MATCH($A62,'Smelter Look-up'!$E:$E,0)))</f>
        <v>Tokuriki Honten Co., Ltd.</v>
      </c>
      <c r="D62" s="230"/>
      <c r="E62" s="182" t="str">
        <f ca="1">IF(ISERROR($V62),"",OFFSET('Smelter Look-up'!$D$4,$V62-4,0)&amp;"")</f>
        <v>JAPAN</v>
      </c>
      <c r="F62" s="182" t="str">
        <f ca="1">IF(ISERROR($V62),"",OFFSET('Smelter Look-up'!$E$4,$V62-4,0))</f>
        <v>CID001938</v>
      </c>
      <c r="G62" s="182" t="str">
        <f ca="1">IF(C62=$X$4,IF(ISERROR($V62),"Enter smelter details","RMI"),IF(ISERROR($V62),"",OFFSET('Smelter Look-up'!$F$4,$V62-4,0)))</f>
        <v>RMI</v>
      </c>
      <c r="H62" s="183">
        <f ca="1">IF(ISERROR($V62),"",OFFSET('Smelter Look-up'!$G$4,$V62-4,0))</f>
        <v>0</v>
      </c>
      <c r="I62" s="184" t="str">
        <f ca="1">IF(ISERROR($V62),"",OFFSET('Smelter Look-up'!$H$4,$V62-4,0))</f>
        <v>Kuki</v>
      </c>
      <c r="J62" s="184" t="str">
        <f ca="1">IF(ISERROR($V62),"",OFFSET('Smelter Look-up'!$I$4,$V62-4,0))</f>
        <v>Saitama</v>
      </c>
      <c r="K62" s="224"/>
      <c r="L62" s="224"/>
      <c r="M62" s="224"/>
      <c r="N62" s="224"/>
      <c r="O62" s="224"/>
      <c r="P62" s="185"/>
      <c r="Q62" s="225"/>
      <c r="R62" s="182" t="str">
        <f ca="1">IF(ISERROR($V62),"",OFFSET('Smelter Look-up'!$C$4,$V62-4,0)&amp;"")</f>
        <v>Tokuriki Honten Co., Ltd.</v>
      </c>
      <c r="S62" s="181" t="str">
        <f t="shared" ca="1" si="5"/>
        <v>JP</v>
      </c>
      <c r="T62" s="181" t="str">
        <f ca="1">IF(B62="","",IF(ISERROR(MATCH($J62,SorP!$B$1:$B$6226,0)),"",INDIRECT("'SorP'!$A$"&amp;MATCH($S62&amp;$J62,SorP!C:C,0))))</f>
        <v>JP-11</v>
      </c>
      <c r="U62" s="201"/>
      <c r="V62" s="226">
        <f ca="1">IF(C62="",NA(),IF(OR(C62="Smelter not listed",C62="Smelter not yet identified"),MATCH($B62&amp;$D62,'Smelter Look-up'!$J:$J,0),MATCH($B62&amp;$C62,'Smelter Look-up'!$J:$J,0)))</f>
        <v>294</v>
      </c>
      <c r="X62" s="227">
        <f t="shared" ca="1" si="6"/>
        <v>0</v>
      </c>
      <c r="AB62" s="228" t="str">
        <f t="shared" ca="1" si="7"/>
        <v>GoldTokuriki Honten Co., Ltd.</v>
      </c>
    </row>
    <row r="63" spans="1:28" s="227" customFormat="1" ht="20.25">
      <c r="A63" s="181" t="s">
        <v>731</v>
      </c>
      <c r="B63" s="182" t="str">
        <f ca="1">IF(LEN(A63)=0,"",INDEX('Smelter Look-up'!$A:$A,MATCH($A63,'Smelter Look-up'!$E:$E,0)))</f>
        <v>Gold</v>
      </c>
      <c r="C63" s="186" t="str">
        <f ca="1">IF(LEN(A63)=0,"",INDEX('Smelter Look-up'!$C:$C,MATCH($A63,'Smelter Look-up'!$E:$E,0)))</f>
        <v>Torecom</v>
      </c>
      <c r="D63" s="230"/>
      <c r="E63" s="182" t="str">
        <f ca="1">IF(ISERROR($V63),"",OFFSET('Smelter Look-up'!$D$4,$V63-4,0)&amp;"")</f>
        <v>KOREA, REPUBLIC OF</v>
      </c>
      <c r="F63" s="182" t="str">
        <f ca="1">IF(ISERROR($V63),"",OFFSET('Smelter Look-up'!$E$4,$V63-4,0))</f>
        <v>CID001955</v>
      </c>
      <c r="G63" s="182" t="str">
        <f ca="1">IF(C63=$X$4,IF(ISERROR($V63),"Enter smelter details","RMI"),IF(ISERROR($V63),"",OFFSET('Smelter Look-up'!$F$4,$V63-4,0)))</f>
        <v>RMI</v>
      </c>
      <c r="H63" s="183">
        <f ca="1">IF(ISERROR($V63),"",OFFSET('Smelter Look-up'!$G$4,$V63-4,0))</f>
        <v>0</v>
      </c>
      <c r="I63" s="184" t="str">
        <f ca="1">IF(ISERROR($V63),"",OFFSET('Smelter Look-up'!$H$4,$V63-4,0))</f>
        <v>Asan</v>
      </c>
      <c r="J63" s="184" t="str">
        <f ca="1">IF(ISERROR($V63),"",OFFSET('Smelter Look-up'!$I$4,$V63-4,0))</f>
        <v>Chungcheongnam-do</v>
      </c>
      <c r="K63" s="224"/>
      <c r="L63" s="224"/>
      <c r="M63" s="224"/>
      <c r="N63" s="224"/>
      <c r="O63" s="224"/>
      <c r="P63" s="185"/>
      <c r="Q63" s="225"/>
      <c r="R63" s="182" t="str">
        <f ca="1">IF(ISERROR($V63),"",OFFSET('Smelter Look-up'!$C$4,$V63-4,0)&amp;"")</f>
        <v>Torecom</v>
      </c>
      <c r="S63" s="181" t="str">
        <f t="shared" ca="1" si="5"/>
        <v>KR</v>
      </c>
      <c r="T63" s="181" t="str">
        <f ca="1">IF(B63="","",IF(ISERROR(MATCH($J63,SorP!$B$1:$B$6226,0)),"",INDIRECT("'SorP'!$A$"&amp;MATCH($S63&amp;$J63,SorP!C:C,0))))</f>
        <v>KR-44</v>
      </c>
      <c r="U63" s="201"/>
      <c r="V63" s="226">
        <f ca="1">IF(C63="",NA(),IF(OR(C63="Smelter not listed",C63="Smelter not yet identified"),MATCH($B63&amp;$D63,'Smelter Look-up'!$J:$J,0),MATCH($B63&amp;$C63,'Smelter Look-up'!$J:$J,0)))</f>
        <v>299</v>
      </c>
      <c r="X63" s="227">
        <f t="shared" ca="1" si="6"/>
        <v>0</v>
      </c>
      <c r="AB63" s="228" t="str">
        <f t="shared" ca="1" si="7"/>
        <v>GoldTorecom</v>
      </c>
    </row>
    <row r="64" spans="1:28" s="227" customFormat="1" ht="20.25">
      <c r="A64" s="181" t="s">
        <v>732</v>
      </c>
      <c r="B64" s="182" t="str">
        <f ca="1">IF(LEN(A64)=0,"",INDEX('Smelter Look-up'!$A:$A,MATCH($A64,'Smelter Look-up'!$E:$E,0)))</f>
        <v>Gold</v>
      </c>
      <c r="C64" s="186" t="str">
        <f ca="1">IF(LEN(A64)=0,"",INDEX('Smelter Look-up'!$C:$C,MATCH($A64,'Smelter Look-up'!$E:$E,0)))</f>
        <v>Umicore S.A. Business Unit Precious Metals Refining</v>
      </c>
      <c r="D64" s="230"/>
      <c r="E64" s="182" t="str">
        <f ca="1">IF(ISERROR($V64),"",OFFSET('Smelter Look-up'!$D$4,$V64-4,0)&amp;"")</f>
        <v>BELGIUM</v>
      </c>
      <c r="F64" s="182" t="str">
        <f ca="1">IF(ISERROR($V64),"",OFFSET('Smelter Look-up'!$E$4,$V64-4,0))</f>
        <v>CID001980</v>
      </c>
      <c r="G64" s="182" t="str">
        <f ca="1">IF(C64=$X$4,IF(ISERROR($V64),"Enter smelter details","RMI"),IF(ISERROR($V64),"",OFFSET('Smelter Look-up'!$F$4,$V64-4,0)))</f>
        <v>RMI</v>
      </c>
      <c r="H64" s="183">
        <f ca="1">IF(ISERROR($V64),"",OFFSET('Smelter Look-up'!$G$4,$V64-4,0))</f>
        <v>0</v>
      </c>
      <c r="I64" s="184" t="str">
        <f ca="1">IF(ISERROR($V64),"",OFFSET('Smelter Look-up'!$H$4,$V64-4,0))</f>
        <v>Hoboken</v>
      </c>
      <c r="J64" s="184" t="str">
        <f ca="1">IF(ISERROR($V64),"",OFFSET('Smelter Look-up'!$I$4,$V64-4,0))</f>
        <v>Antwerpen</v>
      </c>
      <c r="K64" s="224"/>
      <c r="L64" s="224"/>
      <c r="M64" s="224"/>
      <c r="N64" s="224"/>
      <c r="O64" s="224"/>
      <c r="P64" s="185"/>
      <c r="Q64" s="225"/>
      <c r="R64" s="182" t="str">
        <f ca="1">IF(ISERROR($V64),"",OFFSET('Smelter Look-up'!$C$4,$V64-4,0)&amp;"")</f>
        <v>Umicore S.A. Business Unit Precious Metals Refining</v>
      </c>
      <c r="S64" s="181" t="str">
        <f t="shared" ca="1" si="5"/>
        <v>BE</v>
      </c>
      <c r="T64" s="181" t="str">
        <f ca="1">IF(B64="","",IF(ISERROR(MATCH($J64,SorP!$B$1:$B$6226,0)),"",INDIRECT("'SorP'!$A$"&amp;MATCH($S64&amp;$J64,SorP!C:C,0))))</f>
        <v>BE-VAN</v>
      </c>
      <c r="U64" s="201"/>
      <c r="V64" s="226">
        <f ca="1">IF(C64="",NA(),IF(OR(C64="Smelter not listed",C64="Smelter not yet identified"),MATCH($B64&amp;$D64,'Smelter Look-up'!$J:$J,0),MATCH($B64&amp;$C64,'Smelter Look-up'!$J:$J,0)))</f>
        <v>303</v>
      </c>
      <c r="X64" s="227">
        <f t="shared" ca="1" si="6"/>
        <v>0</v>
      </c>
      <c r="AB64" s="228" t="str">
        <f t="shared" ca="1" si="7"/>
        <v>GoldUmicore S.A. Business Unit Precious Metals Refining</v>
      </c>
    </row>
    <row r="65" spans="1:28" s="227" customFormat="1" ht="20.25">
      <c r="A65" s="181" t="s">
        <v>733</v>
      </c>
      <c r="B65" s="182" t="str">
        <f ca="1">IF(LEN(A65)=0,"",INDEX('Smelter Look-up'!$A:$A,MATCH($A65,'Smelter Look-up'!$E:$E,0)))</f>
        <v>Gold</v>
      </c>
      <c r="C65" s="186" t="str">
        <f ca="1">IF(LEN(A65)=0,"",INDEX('Smelter Look-up'!$C:$C,MATCH($A65,'Smelter Look-up'!$E:$E,0)))</f>
        <v>United Precious Metal Refining, Inc.</v>
      </c>
      <c r="D65" s="230"/>
      <c r="E65" s="182" t="str">
        <f ca="1">IF(ISERROR($V65),"",OFFSET('Smelter Look-up'!$D$4,$V65-4,0)&amp;"")</f>
        <v>UNITED STATES OF AMERICA</v>
      </c>
      <c r="F65" s="182" t="str">
        <f ca="1">IF(ISERROR($V65),"",OFFSET('Smelter Look-up'!$E$4,$V65-4,0))</f>
        <v>CID001993</v>
      </c>
      <c r="G65" s="182" t="str">
        <f ca="1">IF(C65=$X$4,IF(ISERROR($V65),"Enter smelter details","RMI"),IF(ISERROR($V65),"",OFFSET('Smelter Look-up'!$F$4,$V65-4,0)))</f>
        <v>RMI</v>
      </c>
      <c r="H65" s="183">
        <f ca="1">IF(ISERROR($V65),"",OFFSET('Smelter Look-up'!$G$4,$V65-4,0))</f>
        <v>0</v>
      </c>
      <c r="I65" s="184" t="str">
        <f ca="1">IF(ISERROR($V65),"",OFFSET('Smelter Look-up'!$H$4,$V65-4,0))</f>
        <v>Alden</v>
      </c>
      <c r="J65" s="184" t="str">
        <f ca="1">IF(ISERROR($V65),"",OFFSET('Smelter Look-up'!$I$4,$V65-4,0))</f>
        <v>New York</v>
      </c>
      <c r="K65" s="224"/>
      <c r="L65" s="224"/>
      <c r="M65" s="224"/>
      <c r="N65" s="224"/>
      <c r="O65" s="224"/>
      <c r="P65" s="185"/>
      <c r="Q65" s="225"/>
      <c r="R65" s="182" t="str">
        <f ca="1">IF(ISERROR($V65),"",OFFSET('Smelter Look-up'!$C$4,$V65-4,0)&amp;"")</f>
        <v>United Precious Metal Refining, Inc.</v>
      </c>
      <c r="S65" s="181" t="str">
        <f t="shared" ca="1" si="5"/>
        <v>US</v>
      </c>
      <c r="T65" s="181" t="str">
        <f ca="1">IF(B65="","",IF(ISERROR(MATCH($J65,SorP!$B$1:$B$6226,0)),"",INDIRECT("'SorP'!$A$"&amp;MATCH($S65&amp;$J65,SorP!C:C,0))))</f>
        <v>US-NY</v>
      </c>
      <c r="U65" s="201"/>
      <c r="V65" s="226">
        <f ca="1">IF(C65="",NA(),IF(OR(C65="Smelter not listed",C65="Smelter not yet identified"),MATCH($B65&amp;$D65,'Smelter Look-up'!$J:$J,0),MATCH($B65&amp;$C65,'Smelter Look-up'!$J:$J,0)))</f>
        <v>304</v>
      </c>
      <c r="X65" s="227">
        <f t="shared" ca="1" si="6"/>
        <v>0</v>
      </c>
      <c r="AB65" s="228" t="str">
        <f t="shared" ca="1" si="7"/>
        <v>GoldUnited Precious Metal Refining, Inc.</v>
      </c>
    </row>
    <row r="66" spans="1:28" s="227" customFormat="1" ht="20.25">
      <c r="A66" s="181" t="s">
        <v>734</v>
      </c>
      <c r="B66" s="182" t="str">
        <f ca="1">IF(LEN(A66)=0,"",INDEX('Smelter Look-up'!$A:$A,MATCH($A66,'Smelter Look-up'!$E:$E,0)))</f>
        <v>Gold</v>
      </c>
      <c r="C66" s="186" t="str">
        <f ca="1">IF(LEN(A66)=0,"",INDEX('Smelter Look-up'!$C:$C,MATCH($A66,'Smelter Look-up'!$E:$E,0)))</f>
        <v>Valcambi S.A.</v>
      </c>
      <c r="D66" s="230"/>
      <c r="E66" s="182" t="str">
        <f ca="1">IF(ISERROR($V66),"",OFFSET('Smelter Look-up'!$D$4,$V66-4,0)&amp;"")</f>
        <v>SWITZERLAND</v>
      </c>
      <c r="F66" s="182" t="str">
        <f ca="1">IF(ISERROR($V66),"",OFFSET('Smelter Look-up'!$E$4,$V66-4,0))</f>
        <v>CID002003</v>
      </c>
      <c r="G66" s="182" t="str">
        <f ca="1">IF(C66=$X$4,IF(ISERROR($V66),"Enter smelter details","RMI"),IF(ISERROR($V66),"",OFFSET('Smelter Look-up'!$F$4,$V66-4,0)))</f>
        <v>RMI</v>
      </c>
      <c r="H66" s="183">
        <f ca="1">IF(ISERROR($V66),"",OFFSET('Smelter Look-up'!$G$4,$V66-4,0))</f>
        <v>0</v>
      </c>
      <c r="I66" s="184" t="str">
        <f ca="1">IF(ISERROR($V66),"",OFFSET('Smelter Look-up'!$H$4,$V66-4,0))</f>
        <v>Balerna</v>
      </c>
      <c r="J66" s="184" t="str">
        <f ca="1">IF(ISERROR($V66),"",OFFSET('Smelter Look-up'!$I$4,$V66-4,0))</f>
        <v>Ticino</v>
      </c>
      <c r="K66" s="224"/>
      <c r="L66" s="224"/>
      <c r="M66" s="224"/>
      <c r="N66" s="224"/>
      <c r="O66" s="224"/>
      <c r="P66" s="185"/>
      <c r="Q66" s="225"/>
      <c r="R66" s="182" t="str">
        <f ca="1">IF(ISERROR($V66),"",OFFSET('Smelter Look-up'!$C$4,$V66-4,0)&amp;"")</f>
        <v>Valcambi S.A.</v>
      </c>
      <c r="S66" s="181" t="str">
        <f t="shared" ca="1" si="5"/>
        <v>CH</v>
      </c>
      <c r="T66" s="181" t="str">
        <f ca="1">IF(B66="","",IF(ISERROR(MATCH($J66,SorP!$B$1:$B$6226,0)),"",INDIRECT("'SorP'!$A$"&amp;MATCH($S66&amp;$J66,SorP!C:C,0))))</f>
        <v>CH-TI</v>
      </c>
      <c r="U66" s="201"/>
      <c r="V66" s="226">
        <f ca="1">IF(C66="",NA(),IF(OR(C66="Smelter not listed",C66="Smelter not yet identified"),MATCH($B66&amp;$D66,'Smelter Look-up'!$J:$J,0),MATCH($B66&amp;$C66,'Smelter Look-up'!$J:$J,0)))</f>
        <v>305</v>
      </c>
      <c r="X66" s="227">
        <f t="shared" ca="1" si="6"/>
        <v>0</v>
      </c>
      <c r="AB66" s="228" t="str">
        <f t="shared" ca="1" si="7"/>
        <v>GoldValcambi S.A.</v>
      </c>
    </row>
    <row r="67" spans="1:28" s="227" customFormat="1" ht="20.25">
      <c r="A67" s="181" t="s">
        <v>735</v>
      </c>
      <c r="B67" s="182" t="str">
        <f ca="1">IF(LEN(A67)=0,"",INDEX('Smelter Look-up'!$A:$A,MATCH($A67,'Smelter Look-up'!$E:$E,0)))</f>
        <v>Gold</v>
      </c>
      <c r="C67" s="186" t="str">
        <f ca="1">IF(LEN(A67)=0,"",INDEX('Smelter Look-up'!$C:$C,MATCH($A67,'Smelter Look-up'!$E:$E,0)))</f>
        <v>Western Australian Mint (T/a The Perth Mint)</v>
      </c>
      <c r="D67" s="230"/>
      <c r="E67" s="182" t="str">
        <f ca="1">IF(ISERROR($V67),"",OFFSET('Smelter Look-up'!$D$4,$V67-4,0)&amp;"")</f>
        <v>AUSTRALIA</v>
      </c>
      <c r="F67" s="182" t="str">
        <f ca="1">IF(ISERROR($V67),"",OFFSET('Smelter Look-up'!$E$4,$V67-4,0))</f>
        <v>CID002030</v>
      </c>
      <c r="G67" s="182" t="str">
        <f ca="1">IF(C67=$X$4,IF(ISERROR($V67),"Enter smelter details","RMI"),IF(ISERROR($V67),"",OFFSET('Smelter Look-up'!$F$4,$V67-4,0)))</f>
        <v>RMI</v>
      </c>
      <c r="H67" s="183">
        <f ca="1">IF(ISERROR($V67),"",OFFSET('Smelter Look-up'!$G$4,$V67-4,0))</f>
        <v>0</v>
      </c>
      <c r="I67" s="184" t="str">
        <f ca="1">IF(ISERROR($V67),"",OFFSET('Smelter Look-up'!$H$4,$V67-4,0))</f>
        <v>Newburn</v>
      </c>
      <c r="J67" s="184" t="str">
        <f ca="1">IF(ISERROR($V67),"",OFFSET('Smelter Look-up'!$I$4,$V67-4,0))</f>
        <v>Western Australia</v>
      </c>
      <c r="K67" s="224"/>
      <c r="L67" s="224"/>
      <c r="M67" s="224"/>
      <c r="N67" s="224"/>
      <c r="O67" s="224"/>
      <c r="P67" s="185"/>
      <c r="Q67" s="225"/>
      <c r="R67" s="182" t="str">
        <f ca="1">IF(ISERROR($V67),"",OFFSET('Smelter Look-up'!$C$4,$V67-4,0)&amp;"")</f>
        <v>Western Australian Mint (T/a The Perth Mint)</v>
      </c>
      <c r="S67" s="181" t="str">
        <f t="shared" ca="1" si="5"/>
        <v>AU</v>
      </c>
      <c r="T67" s="181" t="str">
        <f ca="1">IF(B67="","",IF(ISERROR(MATCH($J67,SorP!$B$1:$B$6226,0)),"",INDIRECT("'SorP'!$A$"&amp;MATCH($S67&amp;$J67,SorP!C:C,0))))</f>
        <v>AU-WA</v>
      </c>
      <c r="U67" s="201"/>
      <c r="V67" s="226">
        <f ca="1">IF(C67="",NA(),IF(OR(C67="Smelter not listed",C67="Smelter not yet identified"),MATCH($B67&amp;$D67,'Smelter Look-up'!$J:$J,0),MATCH($B67&amp;$C67,'Smelter Look-up'!$J:$J,0)))</f>
        <v>307</v>
      </c>
      <c r="X67" s="227">
        <f t="shared" ca="1" si="6"/>
        <v>0</v>
      </c>
      <c r="AB67" s="228" t="str">
        <f t="shared" ca="1" si="7"/>
        <v>GoldWestern Australian Mint (T/a The Perth Mint)</v>
      </c>
    </row>
    <row r="68" spans="1:28" s="227" customFormat="1" ht="20.25">
      <c r="A68" s="181" t="s">
        <v>736</v>
      </c>
      <c r="B68" s="182" t="str">
        <f ca="1">IF(LEN(A68)=0,"",INDEX('Smelter Look-up'!$A:$A,MATCH($A68,'Smelter Look-up'!$E:$E,0)))</f>
        <v>Gold</v>
      </c>
      <c r="C68" s="186" t="str">
        <f ca="1">IF(LEN(A68)=0,"",INDEX('Smelter Look-up'!$C:$C,MATCH($A68,'Smelter Look-up'!$E:$E,0)))</f>
        <v>Yamakin Co., Ltd.</v>
      </c>
      <c r="D68" s="230"/>
      <c r="E68" s="182" t="str">
        <f ca="1">IF(ISERROR($V68),"",OFFSET('Smelter Look-up'!$D$4,$V68-4,0)&amp;"")</f>
        <v>JAPAN</v>
      </c>
      <c r="F68" s="182" t="str">
        <f ca="1">IF(ISERROR($V68),"",OFFSET('Smelter Look-up'!$E$4,$V68-4,0))</f>
        <v>CID002100</v>
      </c>
      <c r="G68" s="182" t="str">
        <f ca="1">IF(C68=$X$4,IF(ISERROR($V68),"Enter smelter details","RMI"),IF(ISERROR($V68),"",OFFSET('Smelter Look-up'!$F$4,$V68-4,0)))</f>
        <v>RMI</v>
      </c>
      <c r="H68" s="183">
        <f ca="1">IF(ISERROR($V68),"",OFFSET('Smelter Look-up'!$G$4,$V68-4,0))</f>
        <v>0</v>
      </c>
      <c r="I68" s="184" t="str">
        <f ca="1">IF(ISERROR($V68),"",OFFSET('Smelter Look-up'!$H$4,$V68-4,0))</f>
        <v>Konan</v>
      </c>
      <c r="J68" s="184" t="str">
        <f ca="1">IF(ISERROR($V68),"",OFFSET('Smelter Look-up'!$I$4,$V68-4,0))</f>
        <v>Kochi</v>
      </c>
      <c r="K68" s="224"/>
      <c r="L68" s="224"/>
      <c r="M68" s="224"/>
      <c r="N68" s="224"/>
      <c r="O68" s="224"/>
      <c r="P68" s="185"/>
      <c r="Q68" s="225"/>
      <c r="R68" s="182" t="str">
        <f ca="1">IF(ISERROR($V68),"",OFFSET('Smelter Look-up'!$C$4,$V68-4,0)&amp;"")</f>
        <v>Yamakin Co., Ltd.</v>
      </c>
      <c r="S68" s="181" t="str">
        <f t="shared" ca="1" si="5"/>
        <v>JP</v>
      </c>
      <c r="T68" s="181" t="str">
        <f ca="1">IF(B68="","",IF(ISERROR(MATCH($J68,SorP!$B$1:$B$6226,0)),"",INDIRECT("'SorP'!$A$"&amp;MATCH($S68&amp;$J68,SorP!C:C,0))))</f>
        <v>JP-39</v>
      </c>
      <c r="U68" s="201"/>
      <c r="V68" s="226">
        <f ca="1">IF(C68="",NA(),IF(OR(C68="Smelter not listed",C68="Smelter not yet identified"),MATCH($B68&amp;$D68,'Smelter Look-up'!$J:$J,0),MATCH($B68&amp;$C68,'Smelter Look-up'!$J:$J,0)))</f>
        <v>311</v>
      </c>
      <c r="X68" s="227">
        <f t="shared" ca="1" si="6"/>
        <v>0</v>
      </c>
      <c r="AB68" s="228" t="str">
        <f t="shared" ca="1" si="7"/>
        <v>GoldYamakin Co., Ltd.</v>
      </c>
    </row>
    <row r="69" spans="1:28" s="227" customFormat="1" ht="20.25">
      <c r="A69" s="181" t="s">
        <v>737</v>
      </c>
      <c r="B69" s="182" t="str">
        <f ca="1">IF(LEN(A69)=0,"",INDEX('Smelter Look-up'!$A:$A,MATCH($A69,'Smelter Look-up'!$E:$E,0)))</f>
        <v>Gold</v>
      </c>
      <c r="C69" s="186" t="str">
        <f ca="1">IF(LEN(A69)=0,"",INDEX('Smelter Look-up'!$C:$C,MATCH($A69,'Smelter Look-up'!$E:$E,0)))</f>
        <v>Yokohama Metal Co., Ltd.</v>
      </c>
      <c r="D69" s="230"/>
      <c r="E69" s="182" t="str">
        <f ca="1">IF(ISERROR($V69),"",OFFSET('Smelter Look-up'!$D$4,$V69-4,0)&amp;"")</f>
        <v>JAPAN</v>
      </c>
      <c r="F69" s="182" t="str">
        <f ca="1">IF(ISERROR($V69),"",OFFSET('Smelter Look-up'!$E$4,$V69-4,0))</f>
        <v>CID002129</v>
      </c>
      <c r="G69" s="182" t="str">
        <f ca="1">IF(C69=$X$4,IF(ISERROR($V69),"Enter smelter details","RMI"),IF(ISERROR($V69),"",OFFSET('Smelter Look-up'!$F$4,$V69-4,0)))</f>
        <v>RMI</v>
      </c>
      <c r="H69" s="183">
        <f ca="1">IF(ISERROR($V69),"",OFFSET('Smelter Look-up'!$G$4,$V69-4,0))</f>
        <v>0</v>
      </c>
      <c r="I69" s="184" t="str">
        <f ca="1">IF(ISERROR($V69),"",OFFSET('Smelter Look-up'!$H$4,$V69-4,0))</f>
        <v>Sagamihara</v>
      </c>
      <c r="J69" s="184" t="str">
        <f ca="1">IF(ISERROR($V69),"",OFFSET('Smelter Look-up'!$I$4,$V69-4,0))</f>
        <v>Kanagawa</v>
      </c>
      <c r="K69" s="224"/>
      <c r="L69" s="224"/>
      <c r="M69" s="224"/>
      <c r="N69" s="224"/>
      <c r="O69" s="224"/>
      <c r="P69" s="185"/>
      <c r="Q69" s="225"/>
      <c r="R69" s="182" t="str">
        <f ca="1">IF(ISERROR($V69),"",OFFSET('Smelter Look-up'!$C$4,$V69-4,0)&amp;"")</f>
        <v>Yokohama Metal Co., Ltd.</v>
      </c>
      <c r="S69" s="181" t="str">
        <f t="shared" ref="S69" ca="1" si="8">IF(B69="","",IF(ISERROR(MATCH($E69,CL,0)),"Unknown",INDIRECT("'C'!$A$"&amp;MATCH($E69,CL,0)+1)))</f>
        <v>JP</v>
      </c>
      <c r="T69" s="181" t="str">
        <f ca="1">IF(B69="","",IF(ISERROR(MATCH($J69,SorP!$B$1:$B$6226,0)),"",INDIRECT("'SorP'!$A$"&amp;MATCH($S69&amp;$J69,SorP!C:C,0))))</f>
        <v>JP-14</v>
      </c>
      <c r="U69" s="201"/>
      <c r="V69" s="226">
        <f ca="1">IF(C69="",NA(),IF(OR(C69="Smelter not listed",C69="Smelter not yet identified"),MATCH($B69&amp;$D69,'Smelter Look-up'!$J:$J,0),MATCH($B69&amp;$C69,'Smelter Look-up'!$J:$J,0)))</f>
        <v>317</v>
      </c>
      <c r="X69" s="227">
        <f t="shared" ref="X69" ca="1" si="9">IF(AND(C69="Smelter not listed",OR(LEN(D69)=0,LEN(E69)=0)),1,0)</f>
        <v>0</v>
      </c>
      <c r="AB69" s="228" t="str">
        <f t="shared" ref="AB69" ca="1" si="10">B69&amp;C69</f>
        <v>GoldYokohama Metal Co., Ltd.</v>
      </c>
    </row>
    <row r="70" spans="1:28" s="227" customFormat="1" ht="20.25">
      <c r="A70" s="181" t="s">
        <v>739</v>
      </c>
      <c r="B70" s="182" t="str">
        <f ca="1">IF(LEN(A70)=0,"",INDEX('Smelter Look-up'!$A:$A,MATCH($A70,'Smelter Look-up'!$E:$E,0)))</f>
        <v>Gold</v>
      </c>
      <c r="C70" s="186" t="str">
        <f ca="1">IF(LEN(A70)=0,"",INDEX('Smelter Look-up'!$C:$C,MATCH($A70,'Smelter Look-up'!$E:$E,0)))</f>
        <v>Zhongyuan Gold Smelter of Zhongjin Gold Corporation</v>
      </c>
      <c r="D70" s="230"/>
      <c r="E70" s="182" t="str">
        <f ca="1">IF(ISERROR($V70),"",OFFSET('Smelter Look-up'!$D$4,$V70-4,0)&amp;"")</f>
        <v>CHINA</v>
      </c>
      <c r="F70" s="182" t="str">
        <f ca="1">IF(ISERROR($V70),"",OFFSET('Smelter Look-up'!$E$4,$V70-4,0))</f>
        <v>CID002224</v>
      </c>
      <c r="G70" s="182" t="str">
        <f ca="1">IF(C70=$X$4,IF(ISERROR($V70),"Enter smelter details","RMI"),IF(ISERROR($V70),"",OFFSET('Smelter Look-up'!$F$4,$V70-4,0)))</f>
        <v>RMI</v>
      </c>
      <c r="H70" s="183">
        <f ca="1">IF(ISERROR($V70),"",OFFSET('Smelter Look-up'!$G$4,$V70-4,0))</f>
        <v>0</v>
      </c>
      <c r="I70" s="184" t="str">
        <f ca="1">IF(ISERROR($V70),"",OFFSET('Smelter Look-up'!$H$4,$V70-4,0))</f>
        <v>Sanmenxia</v>
      </c>
      <c r="J70" s="184" t="str">
        <f ca="1">IF(ISERROR($V70),"",OFFSET('Smelter Look-up'!$I$4,$V70-4,0))</f>
        <v>Henan Sheng</v>
      </c>
      <c r="K70" s="224"/>
      <c r="L70" s="224"/>
      <c r="M70" s="224"/>
      <c r="N70" s="224"/>
      <c r="O70" s="224"/>
      <c r="P70" s="185"/>
      <c r="Q70" s="225"/>
      <c r="R70" s="182" t="str">
        <f ca="1">IF(ISERROR($V70),"",OFFSET('Smelter Look-up'!$C$4,$V70-4,0)&amp;"")</f>
        <v>Zhongyuan Gold Smelter of Zhongjin Gold Corporation</v>
      </c>
      <c r="S70" s="181" t="str">
        <f t="shared" ref="S70:S101" ca="1" si="11">IF(B70="","",IF(ISERROR(MATCH($E70,CL,0)),"Unknown",INDIRECT("'C'!$A$"&amp;MATCH($E70,CL,0)+1)))</f>
        <v>CN</v>
      </c>
      <c r="T70" s="181" t="str">
        <f ca="1">IF(B70="","",IF(ISERROR(MATCH($J70,SorP!$B$1:$B$6226,0)),"",INDIRECT("'SorP'!$A$"&amp;MATCH($S70&amp;$J70,SorP!C:C,0))))</f>
        <v>CN-HA</v>
      </c>
      <c r="U70" s="201"/>
      <c r="V70" s="226">
        <f ca="1">IF(C70="",NA(),IF(OR(C70="Smelter not listed",C70="Smelter not yet identified"),MATCH($B70&amp;$D70,'Smelter Look-up'!$J:$J,0),MATCH($B70&amp;$C70,'Smelter Look-up'!$J:$J,0)))</f>
        <v>327</v>
      </c>
      <c r="X70" s="227">
        <f t="shared" ref="X70:X101" ca="1" si="12">IF(AND(C70="Smelter not listed",OR(LEN(D70)=0,LEN(E70)=0)),1,0)</f>
        <v>0</v>
      </c>
      <c r="AB70" s="228" t="str">
        <f t="shared" ref="AB70:AB101" ca="1" si="13">B70&amp;C70</f>
        <v>GoldZhongyuan Gold Smelter of Zhongjin Gold Corporation</v>
      </c>
    </row>
    <row r="71" spans="1:28" s="227" customFormat="1" ht="20.25">
      <c r="A71" s="181" t="s">
        <v>2301</v>
      </c>
      <c r="B71" s="182" t="str">
        <f ca="1">IF(LEN(A71)=0,"",INDEX('Smelter Look-up'!$A:$A,MATCH($A71,'Smelter Look-up'!$E:$E,0)))</f>
        <v>Gold</v>
      </c>
      <c r="C71" s="186" t="str">
        <f ca="1">IF(LEN(A71)=0,"",INDEX('Smelter Look-up'!$C:$C,MATCH($A71,'Smelter Look-up'!$E:$E,0)))</f>
        <v>SAFINA A.S.</v>
      </c>
      <c r="D71" s="230"/>
      <c r="E71" s="182" t="str">
        <f ca="1">IF(ISERROR($V71),"",OFFSET('Smelter Look-up'!$D$4,$V71-4,0)&amp;"")</f>
        <v>CZECHIA</v>
      </c>
      <c r="F71" s="182" t="str">
        <f ca="1">IF(ISERROR($V71),"",OFFSET('Smelter Look-up'!$E$4,$V71-4,0))</f>
        <v>CID002290</v>
      </c>
      <c r="G71" s="182" t="str">
        <f ca="1">IF(C71=$X$4,IF(ISERROR($V71),"Enter smelter details","RMI"),IF(ISERROR($V71),"",OFFSET('Smelter Look-up'!$F$4,$V71-4,0)))</f>
        <v>RMI</v>
      </c>
      <c r="H71" s="183">
        <f ca="1">IF(ISERROR($V71),"",OFFSET('Smelter Look-up'!$G$4,$V71-4,0))</f>
        <v>0</v>
      </c>
      <c r="I71" s="184" t="str">
        <f ca="1">IF(ISERROR($V71),"",OFFSET('Smelter Look-up'!$H$4,$V71-4,0))</f>
        <v>Vestec</v>
      </c>
      <c r="J71" s="184" t="str">
        <f ca="1">IF(ISERROR($V71),"",OFFSET('Smelter Look-up'!$I$4,$V71-4,0))</f>
        <v>Praha-západ</v>
      </c>
      <c r="K71" s="224"/>
      <c r="L71" s="224"/>
      <c r="M71" s="224"/>
      <c r="N71" s="224"/>
      <c r="O71" s="224"/>
      <c r="P71" s="185"/>
      <c r="Q71" s="225"/>
      <c r="R71" s="182" t="str">
        <f ca="1">IF(ISERROR($V71),"",OFFSET('Smelter Look-up'!$C$4,$V71-4,0)&amp;"")</f>
        <v>SAFINA A.S.</v>
      </c>
      <c r="S71" s="181" t="str">
        <f t="shared" ca="1" si="11"/>
        <v>CZ</v>
      </c>
      <c r="T71" s="181" t="str">
        <f ca="1">IF(B71="","",IF(ISERROR(MATCH($J71,SorP!$B$1:$B$6226,0)),"",INDIRECT("'SorP'!$A$"&amp;MATCH($S71&amp;$J71,SorP!C:C,0))))</f>
        <v>CZ-20A</v>
      </c>
      <c r="U71" s="201"/>
      <c r="V71" s="226">
        <f ca="1">IF(C71="",NA(),IF(OR(C71="Smelter not listed",C71="Smelter not yet identified"),MATCH($B71&amp;$D71,'Smelter Look-up'!$J:$J,0),MATCH($B71&amp;$C71,'Smelter Look-up'!$J:$J,0)))</f>
        <v>236</v>
      </c>
      <c r="X71" s="227">
        <f t="shared" ca="1" si="12"/>
        <v>0</v>
      </c>
      <c r="AB71" s="228" t="str">
        <f t="shared" ca="1" si="13"/>
        <v>GoldSAFINA A.S.</v>
      </c>
    </row>
    <row r="72" spans="1:28" s="227" customFormat="1" ht="20.25">
      <c r="A72" s="181" t="s">
        <v>1379</v>
      </c>
      <c r="B72" s="182" t="str">
        <f ca="1">IF(LEN(A72)=0,"",INDEX('Smelter Look-up'!$A:$A,MATCH($A72,'Smelter Look-up'!$E:$E,0)))</f>
        <v>Gold</v>
      </c>
      <c r="C72" s="186" t="str">
        <f ca="1">IF(LEN(A72)=0,"",INDEX('Smelter Look-up'!$C:$C,MATCH($A72,'Smelter Look-up'!$E:$E,0)))</f>
        <v>MMTC-PAMP India Pvt., Ltd.</v>
      </c>
      <c r="D72" s="230"/>
      <c r="E72" s="182" t="str">
        <f ca="1">IF(ISERROR($V72),"",OFFSET('Smelter Look-up'!$D$4,$V72-4,0)&amp;"")</f>
        <v>INDIA</v>
      </c>
      <c r="F72" s="182" t="str">
        <f ca="1">IF(ISERROR($V72),"",OFFSET('Smelter Look-up'!$E$4,$V72-4,0))</f>
        <v>CID002509</v>
      </c>
      <c r="G72" s="182" t="str">
        <f ca="1">IF(C72=$X$4,IF(ISERROR($V72),"Enter smelter details","RMI"),IF(ISERROR($V72),"",OFFSET('Smelter Look-up'!$F$4,$V72-4,0)))</f>
        <v>RMI</v>
      </c>
      <c r="H72" s="183">
        <f ca="1">IF(ISERROR($V72),"",OFFSET('Smelter Look-up'!$G$4,$V72-4,0))</f>
        <v>0</v>
      </c>
      <c r="I72" s="184" t="str">
        <f ca="1">IF(ISERROR($V72),"",OFFSET('Smelter Look-up'!$H$4,$V72-4,0))</f>
        <v>Mewat</v>
      </c>
      <c r="J72" s="184" t="str">
        <f ca="1">IF(ISERROR($V72),"",OFFSET('Smelter Look-up'!$I$4,$V72-4,0))</f>
        <v>Haryāna</v>
      </c>
      <c r="K72" s="224"/>
      <c r="L72" s="224"/>
      <c r="M72" s="224"/>
      <c r="N72" s="224"/>
      <c r="O72" s="224"/>
      <c r="P72" s="185"/>
      <c r="Q72" s="225"/>
      <c r="R72" s="182" t="str">
        <f ca="1">IF(ISERROR($V72),"",OFFSET('Smelter Look-up'!$C$4,$V72-4,0)&amp;"")</f>
        <v>MMTC-PAMP India Pvt., Ltd.</v>
      </c>
      <c r="S72" s="181" t="str">
        <f t="shared" ca="1" si="11"/>
        <v>IN</v>
      </c>
      <c r="T72" s="181" t="str">
        <f ca="1">IF(B72="","",IF(ISERROR(MATCH($J72,SorP!$B$1:$B$6226,0)),"",INDIRECT("'SorP'!$A$"&amp;MATCH($S72&amp;$J72,SorP!C:C,0))))</f>
        <v>IN-HR</v>
      </c>
      <c r="U72" s="201"/>
      <c r="V72" s="226">
        <f ca="1">IF(C72="",NA(),IF(OR(C72="Smelter not listed",C72="Smelter not yet identified"),MATCH($B72&amp;$D72,'Smelter Look-up'!$J:$J,0),MATCH($B72&amp;$C72,'Smelter Look-up'!$J:$J,0)))</f>
        <v>196</v>
      </c>
      <c r="X72" s="227">
        <f t="shared" ca="1" si="12"/>
        <v>0</v>
      </c>
      <c r="AB72" s="228" t="str">
        <f t="shared" ca="1" si="13"/>
        <v>GoldMMTC-PAMP India Pvt., Ltd.</v>
      </c>
    </row>
    <row r="73" spans="1:28" s="227" customFormat="1" ht="20.25">
      <c r="A73" s="181" t="s">
        <v>1377</v>
      </c>
      <c r="B73" s="182" t="str">
        <f ca="1">IF(LEN(A73)=0,"",INDEX('Smelter Look-up'!$A:$A,MATCH($A73,'Smelter Look-up'!$E:$E,0)))</f>
        <v>Gold</v>
      </c>
      <c r="C73" s="186" t="str">
        <f ca="1">IF(LEN(A73)=0,"",INDEX('Smelter Look-up'!$C:$C,MATCH($A73,'Smelter Look-up'!$E:$E,0)))</f>
        <v>KGHM Polska Miedz Spolka Akcyjna</v>
      </c>
      <c r="D73" s="230"/>
      <c r="E73" s="182" t="str">
        <f ca="1">IF(ISERROR($V73),"",OFFSET('Smelter Look-up'!$D$4,$V73-4,0)&amp;"")</f>
        <v>POLAND</v>
      </c>
      <c r="F73" s="182" t="str">
        <f ca="1">IF(ISERROR($V73),"",OFFSET('Smelter Look-up'!$E$4,$V73-4,0))</f>
        <v>CID002511</v>
      </c>
      <c r="G73" s="182" t="str">
        <f ca="1">IF(C73=$X$4,IF(ISERROR($V73),"Enter smelter details","RMI"),IF(ISERROR($V73),"",OFFSET('Smelter Look-up'!$F$4,$V73-4,0)))</f>
        <v>RMI</v>
      </c>
      <c r="H73" s="183">
        <f ca="1">IF(ISERROR($V73),"",OFFSET('Smelter Look-up'!$G$4,$V73-4,0))</f>
        <v>0</v>
      </c>
      <c r="I73" s="184" t="str">
        <f ca="1">IF(ISERROR($V73),"",OFFSET('Smelter Look-up'!$H$4,$V73-4,0))</f>
        <v>Lubin</v>
      </c>
      <c r="J73" s="184" t="str">
        <f ca="1">IF(ISERROR($V73),"",OFFSET('Smelter Look-up'!$I$4,$V73-4,0))</f>
        <v>Dolnośląskie</v>
      </c>
      <c r="K73" s="224"/>
      <c r="L73" s="224"/>
      <c r="M73" s="224"/>
      <c r="N73" s="224"/>
      <c r="O73" s="224"/>
      <c r="P73" s="185"/>
      <c r="Q73" s="225"/>
      <c r="R73" s="182" t="str">
        <f ca="1">IF(ISERROR($V73),"",OFFSET('Smelter Look-up'!$C$4,$V73-4,0)&amp;"")</f>
        <v>KGHM Polska Miedz Spolka Akcyjna</v>
      </c>
      <c r="S73" s="181" t="str">
        <f t="shared" ca="1" si="11"/>
        <v>PL</v>
      </c>
      <c r="T73" s="181" t="str">
        <f ca="1">IF(B73="","",IF(ISERROR(MATCH($J73,SorP!$B$1:$B$6226,0)),"",INDIRECT("'SorP'!$A$"&amp;MATCH($S73&amp;$J73,SorP!C:C,0))))</f>
        <v>PL-02</v>
      </c>
      <c r="U73" s="201"/>
      <c r="V73" s="226">
        <f ca="1">IF(C73="",NA(),IF(OR(C73="Smelter not listed",C73="Smelter not yet identified"),MATCH($B73&amp;$D73,'Smelter Look-up'!$J:$J,0),MATCH($B73&amp;$C73,'Smelter Look-up'!$J:$J,0)))</f>
        <v>148</v>
      </c>
      <c r="X73" s="227">
        <f t="shared" ca="1" si="12"/>
        <v>0</v>
      </c>
      <c r="AB73" s="228" t="str">
        <f t="shared" ca="1" si="13"/>
        <v>GoldKGHM Polska Miedz Spolka Akcyjna</v>
      </c>
    </row>
    <row r="74" spans="1:28" s="227" customFormat="1" ht="20.25">
      <c r="A74" s="181" t="s">
        <v>1702</v>
      </c>
      <c r="B74" s="182" t="str">
        <f ca="1">IF(LEN(A74)=0,"",INDEX('Smelter Look-up'!$A:$A,MATCH($A74,'Smelter Look-up'!$E:$E,0)))</f>
        <v>Gold</v>
      </c>
      <c r="C74" s="186" t="str">
        <f ca="1">IF(LEN(A74)=0,"",INDEX('Smelter Look-up'!$C:$C,MATCH($A74,'Smelter Look-up'!$E:$E,0)))</f>
        <v>T.C.A S.p.A</v>
      </c>
      <c r="D74" s="230"/>
      <c r="E74" s="182" t="str">
        <f ca="1">IF(ISERROR($V74),"",OFFSET('Smelter Look-up'!$D$4,$V74-4,0)&amp;"")</f>
        <v>ITALY</v>
      </c>
      <c r="F74" s="182" t="str">
        <f ca="1">IF(ISERROR($V74),"",OFFSET('Smelter Look-up'!$E$4,$V74-4,0))</f>
        <v>CID002580</v>
      </c>
      <c r="G74" s="182" t="str">
        <f ca="1">IF(C74=$X$4,IF(ISERROR($V74),"Enter smelter details","RMI"),IF(ISERROR($V74),"",OFFSET('Smelter Look-up'!$F$4,$V74-4,0)))</f>
        <v>RMI</v>
      </c>
      <c r="H74" s="183">
        <f ca="1">IF(ISERROR($V74),"",OFFSET('Smelter Look-up'!$G$4,$V74-4,0))</f>
        <v>0</v>
      </c>
      <c r="I74" s="184" t="str">
        <f ca="1">IF(ISERROR($V74),"",OFFSET('Smelter Look-up'!$H$4,$V74-4,0))</f>
        <v>Capolona</v>
      </c>
      <c r="J74" s="184" t="str">
        <f ca="1">IF(ISERROR($V74),"",OFFSET('Smelter Look-up'!$I$4,$V74-4,0))</f>
        <v>Toscana</v>
      </c>
      <c r="K74" s="224"/>
      <c r="L74" s="224"/>
      <c r="M74" s="224"/>
      <c r="N74" s="224"/>
      <c r="O74" s="224"/>
      <c r="P74" s="185"/>
      <c r="Q74" s="225"/>
      <c r="R74" s="182" t="str">
        <f ca="1">IF(ISERROR($V74),"",OFFSET('Smelter Look-up'!$C$4,$V74-4,0)&amp;"")</f>
        <v>T.C.A S.p.A</v>
      </c>
      <c r="S74" s="181" t="str">
        <f t="shared" ca="1" si="11"/>
        <v>IT</v>
      </c>
      <c r="T74" s="181" t="str">
        <f ca="1">IF(B74="","",IF(ISERROR(MATCH($J74,SorP!$B$1:$B$6226,0)),"",INDIRECT("'SorP'!$A$"&amp;MATCH($S74&amp;$J74,SorP!C:C,0))))</f>
        <v>IT-52</v>
      </c>
      <c r="U74" s="201"/>
      <c r="V74" s="226">
        <f ca="1">IF(C74="",NA(),IF(OR(C74="Smelter not listed",C74="Smelter not yet identified"),MATCH($B74&amp;$D74,'Smelter Look-up'!$J:$J,0),MATCH($B74&amp;$C74,'Smelter Look-up'!$J:$J,0)))</f>
        <v>280</v>
      </c>
      <c r="X74" s="227">
        <f t="shared" ca="1" si="12"/>
        <v>0</v>
      </c>
      <c r="AB74" s="228" t="str">
        <f t="shared" ca="1" si="13"/>
        <v>GoldT.C.A S.p.A</v>
      </c>
    </row>
    <row r="75" spans="1:28" s="227" customFormat="1" ht="20.25">
      <c r="A75" s="181" t="s">
        <v>2299</v>
      </c>
      <c r="B75" s="182" t="str">
        <f ca="1">IF(LEN(A75)=0,"",INDEX('Smelter Look-up'!$A:$A,MATCH($A75,'Smelter Look-up'!$E:$E,0)))</f>
        <v>Gold</v>
      </c>
      <c r="C75" s="186" t="str">
        <f ca="1">IF(LEN(A75)=0,"",INDEX('Smelter Look-up'!$C:$C,MATCH($A75,'Smelter Look-up'!$E:$E,0)))</f>
        <v>REMONDIS PMR B.V.</v>
      </c>
      <c r="D75" s="230"/>
      <c r="E75" s="182" t="str">
        <f ca="1">IF(ISERROR($V75),"",OFFSET('Smelter Look-up'!$D$4,$V75-4,0)&amp;"")</f>
        <v>NETHERLANDS</v>
      </c>
      <c r="F75" s="182" t="str">
        <f ca="1">IF(ISERROR($V75),"",OFFSET('Smelter Look-up'!$E$4,$V75-4,0))</f>
        <v>CID002582</v>
      </c>
      <c r="G75" s="182" t="str">
        <f ca="1">IF(C75=$X$4,IF(ISERROR($V75),"Enter smelter details","RMI"),IF(ISERROR($V75),"",OFFSET('Smelter Look-up'!$F$4,$V75-4,0)))</f>
        <v>RMI</v>
      </c>
      <c r="H75" s="183">
        <f ca="1">IF(ISERROR($V75),"",OFFSET('Smelter Look-up'!$G$4,$V75-4,0))</f>
        <v>0</v>
      </c>
      <c r="I75" s="184" t="str">
        <f ca="1">IF(ISERROR($V75),"",OFFSET('Smelter Look-up'!$H$4,$V75-4,0))</f>
        <v>Moerdijk</v>
      </c>
      <c r="J75" s="184" t="str">
        <f ca="1">IF(ISERROR($V75),"",OFFSET('Smelter Look-up'!$I$4,$V75-4,0))</f>
        <v>Noord-Brabant</v>
      </c>
      <c r="K75" s="224"/>
      <c r="L75" s="224"/>
      <c r="M75" s="224"/>
      <c r="N75" s="224"/>
      <c r="O75" s="224"/>
      <c r="P75" s="185"/>
      <c r="Q75" s="225"/>
      <c r="R75" s="182" t="str">
        <f ca="1">IF(ISERROR($V75),"",OFFSET('Smelter Look-up'!$C$4,$V75-4,0)&amp;"")</f>
        <v>REMONDIS PMR B.V.</v>
      </c>
      <c r="S75" s="181" t="str">
        <f t="shared" ca="1" si="11"/>
        <v>NL</v>
      </c>
      <c r="T75" s="181" t="str">
        <f ca="1">IF(B75="","",IF(ISERROR(MATCH($J75,SorP!$B$1:$B$6226,0)),"",INDIRECT("'SorP'!$A$"&amp;MATCH($S75&amp;$J75,SorP!C:C,0))))</f>
        <v>NL-NB</v>
      </c>
      <c r="U75" s="201"/>
      <c r="V75" s="226">
        <f ca="1">IF(C75="",NA(),IF(OR(C75="Smelter not listed",C75="Smelter not yet identified"),MATCH($B75&amp;$D75,'Smelter Look-up'!$J:$J,0),MATCH($B75&amp;$C75,'Smelter Look-up'!$J:$J,0)))</f>
        <v>231</v>
      </c>
      <c r="X75" s="227">
        <f t="shared" ca="1" si="12"/>
        <v>0</v>
      </c>
      <c r="AB75" s="228" t="str">
        <f t="shared" ca="1" si="13"/>
        <v>GoldREMONDIS PMR B.V.</v>
      </c>
    </row>
    <row r="76" spans="1:28" s="227" customFormat="1" ht="20.25">
      <c r="A76" s="181" t="s">
        <v>1704</v>
      </c>
      <c r="B76" s="182" t="str">
        <f ca="1">IF(LEN(A76)=0,"",INDEX('Smelter Look-up'!$A:$A,MATCH($A76,'Smelter Look-up'!$E:$E,0)))</f>
        <v>Gold</v>
      </c>
      <c r="C76" s="186" t="str">
        <f ca="1">IF(LEN(A76)=0,"",INDEX('Smelter Look-up'!$C:$C,MATCH($A76,'Smelter Look-up'!$E:$E,0)))</f>
        <v>Korea Zinc Co., Ltd.</v>
      </c>
      <c r="D76" s="230"/>
      <c r="E76" s="182" t="str">
        <f ca="1">IF(ISERROR($V76),"",OFFSET('Smelter Look-up'!$D$4,$V76-4,0)&amp;"")</f>
        <v>KOREA, REPUBLIC OF</v>
      </c>
      <c r="F76" s="182" t="str">
        <f ca="1">IF(ISERROR($V76),"",OFFSET('Smelter Look-up'!$E$4,$V76-4,0))</f>
        <v>CID002605</v>
      </c>
      <c r="G76" s="182" t="str">
        <f ca="1">IF(C76=$X$4,IF(ISERROR($V76),"Enter smelter details","RMI"),IF(ISERROR($V76),"",OFFSET('Smelter Look-up'!$F$4,$V76-4,0)))</f>
        <v>RMI</v>
      </c>
      <c r="H76" s="183">
        <f ca="1">IF(ISERROR($V76),"",OFFSET('Smelter Look-up'!$G$4,$V76-4,0))</f>
        <v>0</v>
      </c>
      <c r="I76" s="184" t="str">
        <f ca="1">IF(ISERROR($V76),"",OFFSET('Smelter Look-up'!$H$4,$V76-4,0))</f>
        <v>Seoul</v>
      </c>
      <c r="J76" s="184" t="str">
        <f ca="1">IF(ISERROR($V76),"",OFFSET('Smelter Look-up'!$I$4,$V76-4,0))</f>
        <v>Seoul-teukbyeolsi</v>
      </c>
      <c r="K76" s="224"/>
      <c r="L76" s="224"/>
      <c r="M76" s="224"/>
      <c r="N76" s="224"/>
      <c r="O76" s="224"/>
      <c r="P76" s="185"/>
      <c r="Q76" s="225"/>
      <c r="R76" s="182" t="str">
        <f ca="1">IF(ISERROR($V76),"",OFFSET('Smelter Look-up'!$C$4,$V76-4,0)&amp;"")</f>
        <v>Korea Zinc Co., Ltd.</v>
      </c>
      <c r="S76" s="181" t="str">
        <f t="shared" ca="1" si="11"/>
        <v>KR</v>
      </c>
      <c r="T76" s="181" t="str">
        <f ca="1">IF(B76="","",IF(ISERROR(MATCH($J76,SorP!$B$1:$B$6226,0)),"",INDIRECT("'SorP'!$A$"&amp;MATCH($S76&amp;$J76,SorP!C:C,0))))</f>
        <v>KR-11</v>
      </c>
      <c r="U76" s="201"/>
      <c r="V76" s="226">
        <f ca="1">IF(C76="",NA(),IF(OR(C76="Smelter not listed",C76="Smelter not yet identified"),MATCH($B76&amp;$D76,'Smelter Look-up'!$J:$J,0),MATCH($B76&amp;$C76,'Smelter Look-up'!$J:$J,0)))</f>
        <v>154</v>
      </c>
      <c r="X76" s="227">
        <f t="shared" ca="1" si="12"/>
        <v>0</v>
      </c>
      <c r="AB76" s="228" t="str">
        <f t="shared" ca="1" si="13"/>
        <v>GoldKorea Zinc Co., Ltd.</v>
      </c>
    </row>
    <row r="77" spans="1:28" s="227" customFormat="1" ht="20.25">
      <c r="A77" s="181" t="s">
        <v>2311</v>
      </c>
      <c r="B77" s="182" t="str">
        <f ca="1">IF(LEN(A77)=0,"",INDEX('Smelter Look-up'!$A:$A,MATCH($A77,'Smelter Look-up'!$E:$E,0)))</f>
        <v>Gold</v>
      </c>
      <c r="C77" s="186" t="str">
        <f ca="1">IF(LEN(A77)=0,"",INDEX('Smelter Look-up'!$C:$C,MATCH($A77,'Smelter Look-up'!$E:$E,0)))</f>
        <v>TOO Tau-Ken-Altyn</v>
      </c>
      <c r="D77" s="230"/>
      <c r="E77" s="182" t="str">
        <f ca="1">IF(ISERROR($V77),"",OFFSET('Smelter Look-up'!$D$4,$V77-4,0)&amp;"")</f>
        <v>KAZAKHSTAN</v>
      </c>
      <c r="F77" s="182" t="str">
        <f ca="1">IF(ISERROR($V77),"",OFFSET('Smelter Look-up'!$E$4,$V77-4,0))</f>
        <v>CID002615</v>
      </c>
      <c r="G77" s="182" t="str">
        <f ca="1">IF(C77=$X$4,IF(ISERROR($V77),"Enter smelter details","RMI"),IF(ISERROR($V77),"",OFFSET('Smelter Look-up'!$F$4,$V77-4,0)))</f>
        <v>RMI</v>
      </c>
      <c r="H77" s="183">
        <f ca="1">IF(ISERROR($V77),"",OFFSET('Smelter Look-up'!$G$4,$V77-4,0))</f>
        <v>0</v>
      </c>
      <c r="I77" s="184" t="str">
        <f ca="1">IF(ISERROR($V77),"",OFFSET('Smelter Look-up'!$H$4,$V77-4,0))</f>
        <v>Astana</v>
      </c>
      <c r="J77" s="184" t="str">
        <f ca="1">IF(ISERROR($V77),"",OFFSET('Smelter Look-up'!$I$4,$V77-4,0))</f>
        <v>Almaty</v>
      </c>
      <c r="K77" s="224"/>
      <c r="L77" s="224"/>
      <c r="M77" s="224"/>
      <c r="N77" s="224"/>
      <c r="O77" s="224"/>
      <c r="P77" s="185"/>
      <c r="Q77" s="225"/>
      <c r="R77" s="182" t="str">
        <f ca="1">IF(ISERROR($V77),"",OFFSET('Smelter Look-up'!$C$4,$V77-4,0)&amp;"")</f>
        <v>TOO Tau-Ken-Altyn</v>
      </c>
      <c r="S77" s="181" t="str">
        <f t="shared" ca="1" si="11"/>
        <v>KZ</v>
      </c>
      <c r="T77" s="181" t="str">
        <f ca="1">IF(B77="","",IF(ISERROR(MATCH($J77,SorP!$B$1:$B$6226,0)),"",INDIRECT("'SorP'!$A$"&amp;MATCH($S77&amp;$J77,SorP!C:C,0))))</f>
        <v>KZ-ALA</v>
      </c>
      <c r="U77" s="201"/>
      <c r="V77" s="226">
        <f ca="1">IF(C77="",NA(),IF(OR(C77="Smelter not listed",C77="Smelter not yet identified"),MATCH($B77&amp;$D77,'Smelter Look-up'!$J:$J,0),MATCH($B77&amp;$C77,'Smelter Look-up'!$J:$J,0)))</f>
        <v>298</v>
      </c>
      <c r="X77" s="227">
        <f t="shared" ca="1" si="12"/>
        <v>0</v>
      </c>
      <c r="AB77" s="228" t="str">
        <f t="shared" ca="1" si="13"/>
        <v>GoldTOO Tau-Ken-Altyn</v>
      </c>
    </row>
    <row r="78" spans="1:28" s="227" customFormat="1" ht="20.25">
      <c r="A78" s="181" t="s">
        <v>2417</v>
      </c>
      <c r="B78" s="182" t="str">
        <f ca="1">IF(LEN(A78)=0,"",INDEX('Smelter Look-up'!$A:$A,MATCH($A78,'Smelter Look-up'!$E:$E,0)))</f>
        <v>Gold</v>
      </c>
      <c r="C78" s="186" t="str">
        <f ca="1">IF(LEN(A78)=0,"",INDEX('Smelter Look-up'!$C:$C,MATCH($A78,'Smelter Look-up'!$E:$E,0)))</f>
        <v>Abington Reldan Metals, LLC</v>
      </c>
      <c r="D78" s="230"/>
      <c r="E78" s="182" t="str">
        <f ca="1">IF(ISERROR($V78),"",OFFSET('Smelter Look-up'!$D$4,$V78-4,0)&amp;"")</f>
        <v>UNITED STATES OF AMERICA</v>
      </c>
      <c r="F78" s="182" t="str">
        <f ca="1">IF(ISERROR($V78),"",OFFSET('Smelter Look-up'!$E$4,$V78-4,0))</f>
        <v>CID002708</v>
      </c>
      <c r="G78" s="182" t="str">
        <f ca="1">IF(C78=$X$4,IF(ISERROR($V78),"Enter smelter details","RMI"),IF(ISERROR($V78),"",OFFSET('Smelter Look-up'!$F$4,$V78-4,0)))</f>
        <v>RMI</v>
      </c>
      <c r="H78" s="183">
        <f ca="1">IF(ISERROR($V78),"",OFFSET('Smelter Look-up'!$G$4,$V78-4,0))</f>
        <v>0</v>
      </c>
      <c r="I78" s="184" t="str">
        <f ca="1">IF(ISERROR($V78),"",OFFSET('Smelter Look-up'!$H$4,$V78-4,0))</f>
        <v>Fairless Hills</v>
      </c>
      <c r="J78" s="184" t="str">
        <f ca="1">IF(ISERROR($V78),"",OFFSET('Smelter Look-up'!$I$4,$V78-4,0))</f>
        <v>Pennsylvania</v>
      </c>
      <c r="K78" s="224"/>
      <c r="L78" s="224"/>
      <c r="M78" s="224"/>
      <c r="N78" s="224"/>
      <c r="O78" s="224"/>
      <c r="P78" s="185"/>
      <c r="Q78" s="225"/>
      <c r="R78" s="182" t="str">
        <f ca="1">IF(ISERROR($V78),"",OFFSET('Smelter Look-up'!$C$4,$V78-4,0)&amp;"")</f>
        <v>Abington Reldan Metals, LLC</v>
      </c>
      <c r="S78" s="181" t="str">
        <f t="shared" ca="1" si="11"/>
        <v>US</v>
      </c>
      <c r="T78" s="181" t="str">
        <f ca="1">IF(B78="","",IF(ISERROR(MATCH($J78,SorP!$B$1:$B$6226,0)),"",INDIRECT("'SorP'!$A$"&amp;MATCH($S78&amp;$J78,SorP!C:C,0))))</f>
        <v>US-PA</v>
      </c>
      <c r="U78" s="201"/>
      <c r="V78" s="226">
        <f ca="1">IF(C78="",NA(),IF(OR(C78="Smelter not listed",C78="Smelter not yet identified"),MATCH($B78&amp;$D78,'Smelter Look-up'!$J:$J,0),MATCH($B78&amp;$C78,'Smelter Look-up'!$J:$J,0)))</f>
        <v>7</v>
      </c>
      <c r="X78" s="227">
        <f t="shared" ca="1" si="12"/>
        <v>0</v>
      </c>
      <c r="AB78" s="228" t="str">
        <f t="shared" ca="1" si="13"/>
        <v>GoldAbington Reldan Metals, LLC</v>
      </c>
    </row>
    <row r="79" spans="1:28" s="227" customFormat="1" ht="20.25">
      <c r="A79" s="181" t="s">
        <v>2423</v>
      </c>
      <c r="B79" s="182" t="str">
        <f ca="1">IF(LEN(A79)=0,"",INDEX('Smelter Look-up'!$A:$A,MATCH($A79,'Smelter Look-up'!$E:$E,0)))</f>
        <v>Gold</v>
      </c>
      <c r="C79" s="186" t="str">
        <f ca="1">IF(LEN(A79)=0,"",INDEX('Smelter Look-up'!$C:$C,MATCH($A79,'Smelter Look-up'!$E:$E,0)))</f>
        <v>L'Orfebre S.A.</v>
      </c>
      <c r="D79" s="230"/>
      <c r="E79" s="182" t="str">
        <f ca="1">IF(ISERROR($V79),"",OFFSET('Smelter Look-up'!$D$4,$V79-4,0)&amp;"")</f>
        <v>ANDORRA</v>
      </c>
      <c r="F79" s="182" t="str">
        <f ca="1">IF(ISERROR($V79),"",OFFSET('Smelter Look-up'!$E$4,$V79-4,0))</f>
        <v>CID002762</v>
      </c>
      <c r="G79" s="182" t="str">
        <f ca="1">IF(C79=$X$4,IF(ISERROR($V79),"Enter smelter details","RMI"),IF(ISERROR($V79),"",OFFSET('Smelter Look-up'!$F$4,$V79-4,0)))</f>
        <v>RMI</v>
      </c>
      <c r="H79" s="183">
        <f ca="1">IF(ISERROR($V79),"",OFFSET('Smelter Look-up'!$G$4,$V79-4,0))</f>
        <v>0</v>
      </c>
      <c r="I79" s="184" t="str">
        <f ca="1">IF(ISERROR($V79),"",OFFSET('Smelter Look-up'!$H$4,$V79-4,0))</f>
        <v>Andorra la Vella</v>
      </c>
      <c r="J79" s="184" t="str">
        <f ca="1">IF(ISERROR($V79),"",OFFSET('Smelter Look-up'!$I$4,$V79-4,0))</f>
        <v>Andorra la Vella</v>
      </c>
      <c r="K79" s="224"/>
      <c r="L79" s="224"/>
      <c r="M79" s="224"/>
      <c r="N79" s="224"/>
      <c r="O79" s="224"/>
      <c r="P79" s="185"/>
      <c r="Q79" s="225"/>
      <c r="R79" s="182" t="str">
        <f ca="1">IF(ISERROR($V79),"",OFFSET('Smelter Look-up'!$C$4,$V79-4,0)&amp;"")</f>
        <v>L'Orfebre S.A.</v>
      </c>
      <c r="S79" s="181" t="str">
        <f t="shared" ca="1" si="11"/>
        <v>AD</v>
      </c>
      <c r="T79" s="181" t="str">
        <f ca="1">IF(B79="","",IF(ISERROR(MATCH($J79,SorP!$B$1:$B$6226,0)),"",INDIRECT("'SorP'!$A$"&amp;MATCH($S79&amp;$J79,SorP!C:C,0))))</f>
        <v>AD-07</v>
      </c>
      <c r="U79" s="201"/>
      <c r="V79" s="226">
        <f ca="1">IF(C79="",NA(),IF(OR(C79="Smelter not listed",C79="Smelter not yet identified"),MATCH($B79&amp;$D79,'Smelter Look-up'!$J:$J,0),MATCH($B79&amp;$C79,'Smelter Look-up'!$J:$J,0)))</f>
        <v>167</v>
      </c>
      <c r="X79" s="227">
        <f t="shared" ca="1" si="12"/>
        <v>0</v>
      </c>
      <c r="AB79" s="228" t="str">
        <f t="shared" ca="1" si="13"/>
        <v>GoldL'Orfebre S.A.</v>
      </c>
    </row>
    <row r="80" spans="1:28" s="227" customFormat="1" ht="20.25">
      <c r="A80" s="181" t="s">
        <v>2486</v>
      </c>
      <c r="B80" s="182" t="str">
        <f ca="1">IF(LEN(A80)=0,"",INDEX('Smelter Look-up'!$A:$A,MATCH($A80,'Smelter Look-up'!$E:$E,0)))</f>
        <v>Gold</v>
      </c>
      <c r="C80" s="186" t="str">
        <f ca="1">IF(LEN(A80)=0,"",INDEX('Smelter Look-up'!$C:$C,MATCH($A80,'Smelter Look-up'!$E:$E,0)))</f>
        <v>Italpreziosi</v>
      </c>
      <c r="D80" s="230"/>
      <c r="E80" s="182" t="str">
        <f ca="1">IF(ISERROR($V80),"",OFFSET('Smelter Look-up'!$D$4,$V80-4,0)&amp;"")</f>
        <v>ITALY</v>
      </c>
      <c r="F80" s="182" t="str">
        <f ca="1">IF(ISERROR($V80),"",OFFSET('Smelter Look-up'!$E$4,$V80-4,0))</f>
        <v>CID002765</v>
      </c>
      <c r="G80" s="182" t="str">
        <f ca="1">IF(C80=$X$4,IF(ISERROR($V80),"Enter smelter details","RMI"),IF(ISERROR($V80),"",OFFSET('Smelter Look-up'!$F$4,$V80-4,0)))</f>
        <v>RMI</v>
      </c>
      <c r="H80" s="183">
        <f ca="1">IF(ISERROR($V80),"",OFFSET('Smelter Look-up'!$G$4,$V80-4,0))</f>
        <v>0</v>
      </c>
      <c r="I80" s="184" t="str">
        <f ca="1">IF(ISERROR($V80),"",OFFSET('Smelter Look-up'!$H$4,$V80-4,0))</f>
        <v>Arezzo</v>
      </c>
      <c r="J80" s="184" t="str">
        <f ca="1">IF(ISERROR($V80),"",OFFSET('Smelter Look-up'!$I$4,$V80-4,0))</f>
        <v>Toscana</v>
      </c>
      <c r="K80" s="224"/>
      <c r="L80" s="224"/>
      <c r="M80" s="224"/>
      <c r="N80" s="224"/>
      <c r="O80" s="224"/>
      <c r="P80" s="185"/>
      <c r="Q80" s="225"/>
      <c r="R80" s="182" t="str">
        <f ca="1">IF(ISERROR($V80),"",OFFSET('Smelter Look-up'!$C$4,$V80-4,0)&amp;"")</f>
        <v>Italpreziosi</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129</v>
      </c>
      <c r="X80" s="227">
        <f t="shared" ca="1" si="12"/>
        <v>0</v>
      </c>
      <c r="AB80" s="228" t="str">
        <f t="shared" ca="1" si="13"/>
        <v>GoldItalpreziosi</v>
      </c>
    </row>
    <row r="81" spans="1:28" s="227" customFormat="1" ht="20.25">
      <c r="A81" s="181" t="s">
        <v>2188</v>
      </c>
      <c r="B81" s="182" t="str">
        <f ca="1">IF(LEN(A81)=0,"",INDEX('Smelter Look-up'!$A:$A,MATCH($A81,'Smelter Look-up'!$E:$E,0)))</f>
        <v>Gold</v>
      </c>
      <c r="C81" s="186" t="str">
        <f ca="1">IF(LEN(A81)=0,"",INDEX('Smelter Look-up'!$C:$C,MATCH($A81,'Smelter Look-up'!$E:$E,0)))</f>
        <v>WIELAND Edelmetalle GmbH</v>
      </c>
      <c r="D81" s="230"/>
      <c r="E81" s="182" t="str">
        <f ca="1">IF(ISERROR($V81),"",OFFSET('Smelter Look-up'!$D$4,$V81-4,0)&amp;"")</f>
        <v>GERMANY</v>
      </c>
      <c r="F81" s="182" t="str">
        <f ca="1">IF(ISERROR($V81),"",OFFSET('Smelter Look-up'!$E$4,$V81-4,0))</f>
        <v>CID002778</v>
      </c>
      <c r="G81" s="182" t="str">
        <f ca="1">IF(C81=$X$4,IF(ISERROR($V81),"Enter smelter details","RMI"),IF(ISERROR($V81),"",OFFSET('Smelter Look-up'!$F$4,$V81-4,0)))</f>
        <v>RMI</v>
      </c>
      <c r="H81" s="183">
        <f ca="1">IF(ISERROR($V81),"",OFFSET('Smelter Look-up'!$G$4,$V81-4,0))</f>
        <v>0</v>
      </c>
      <c r="I81" s="184" t="str">
        <f ca="1">IF(ISERROR($V81),"",OFFSET('Smelter Look-up'!$H$4,$V81-4,0))</f>
        <v>Pforzheim</v>
      </c>
      <c r="J81" s="184" t="str">
        <f ca="1">IF(ISERROR($V81),"",OFFSET('Smelter Look-up'!$I$4,$V81-4,0))</f>
        <v>Baden-Württemberg</v>
      </c>
      <c r="K81" s="224"/>
      <c r="L81" s="224"/>
      <c r="M81" s="224"/>
      <c r="N81" s="224"/>
      <c r="O81" s="224"/>
      <c r="P81" s="185"/>
      <c r="Q81" s="225"/>
      <c r="R81" s="182" t="str">
        <f ca="1">IF(ISERROR($V81),"",OFFSET('Smelter Look-up'!$C$4,$V81-4,0)&amp;"")</f>
        <v>WIELAND Edelmetalle GmbH</v>
      </c>
      <c r="S81" s="181" t="str">
        <f t="shared" ca="1" si="11"/>
        <v>DE</v>
      </c>
      <c r="T81" s="181" t="str">
        <f ca="1">IF(B81="","",IF(ISERROR(MATCH($J81,SorP!$B$1:$B$6226,0)),"",INDIRECT("'SorP'!$A$"&amp;MATCH($S81&amp;$J81,SorP!C:C,0))))</f>
        <v>DE-BW</v>
      </c>
      <c r="U81" s="201"/>
      <c r="V81" s="226">
        <f ca="1">IF(C81="",NA(),IF(OR(C81="Smelter not listed",C81="Smelter not yet identified"),MATCH($B81&amp;$D81,'Smelter Look-up'!$J:$J,0),MATCH($B81&amp;$C81,'Smelter Look-up'!$J:$J,0)))</f>
        <v>308</v>
      </c>
      <c r="X81" s="227">
        <f t="shared" ca="1" si="12"/>
        <v>0</v>
      </c>
      <c r="AB81" s="228" t="str">
        <f t="shared" ca="1" si="13"/>
        <v>GoldWIELAND Edelmetalle GmbH</v>
      </c>
    </row>
    <row r="82" spans="1:28" s="227" customFormat="1" ht="20.25">
      <c r="A82" s="181" t="s">
        <v>2189</v>
      </c>
      <c r="B82" s="182" t="str">
        <f ca="1">IF(LEN(A82)=0,"",INDEX('Smelter Look-up'!$A:$A,MATCH($A82,'Smelter Look-up'!$E:$E,0)))</f>
        <v>Gold</v>
      </c>
      <c r="C82" s="186" t="str">
        <f ca="1">IF(LEN(A82)=0,"",INDEX('Smelter Look-up'!$C:$C,MATCH($A82,'Smelter Look-up'!$E:$E,0)))</f>
        <v>Ogussa Osterreichische Gold- und Silber-Scheideanstalt GmbH</v>
      </c>
      <c r="D82" s="230"/>
      <c r="E82" s="182" t="str">
        <f ca="1">IF(ISERROR($V82),"",OFFSET('Smelter Look-up'!$D$4,$V82-4,0)&amp;"")</f>
        <v>AUSTRIA</v>
      </c>
      <c r="F82" s="182" t="str">
        <f ca="1">IF(ISERROR($V82),"",OFFSET('Smelter Look-up'!$E$4,$V82-4,0))</f>
        <v>CID002779</v>
      </c>
      <c r="G82" s="182" t="str">
        <f ca="1">IF(C82=$X$4,IF(ISERROR($V82),"Enter smelter details","RMI"),IF(ISERROR($V82),"",OFFSET('Smelter Look-up'!$F$4,$V82-4,0)))</f>
        <v>RMI</v>
      </c>
      <c r="H82" s="183">
        <f ca="1">IF(ISERROR($V82),"",OFFSET('Smelter Look-up'!$G$4,$V82-4,0))</f>
        <v>0</v>
      </c>
      <c r="I82" s="184" t="str">
        <f ca="1">IF(ISERROR($V82),"",OFFSET('Smelter Look-up'!$H$4,$V82-4,0))</f>
        <v>Vienna</v>
      </c>
      <c r="J82" s="184" t="str">
        <f ca="1">IF(ISERROR($V82),"",OFFSET('Smelter Look-up'!$I$4,$V82-4,0))</f>
        <v>Wien</v>
      </c>
      <c r="K82" s="224"/>
      <c r="L82" s="224"/>
      <c r="M82" s="224"/>
      <c r="N82" s="224"/>
      <c r="O82" s="224"/>
      <c r="P82" s="185"/>
      <c r="Q82" s="225"/>
      <c r="R82" s="182" t="str">
        <f ca="1">IF(ISERROR($V82),"",OFFSET('Smelter Look-up'!$C$4,$V82-4,0)&amp;"")</f>
        <v>Ogussa Osterreichische Gold- und Silber-Scheideanstalt GmbH</v>
      </c>
      <c r="S82" s="181" t="str">
        <f t="shared" ca="1" si="11"/>
        <v>AT</v>
      </c>
      <c r="T82" s="181" t="str">
        <f ca="1">IF(B82="","",IF(ISERROR(MATCH($J82,SorP!$B$1:$B$6226,0)),"",INDIRECT("'SorP'!$A$"&amp;MATCH($S82&amp;$J82,SorP!C:C,0))))</f>
        <v>AT-9</v>
      </c>
      <c r="U82" s="201"/>
      <c r="V82" s="226">
        <f ca="1">IF(C82="",NA(),IF(OR(C82="Smelter not listed",C82="Smelter not yet identified"),MATCH($B82&amp;$D82,'Smelter Look-up'!$J:$J,0),MATCH($B82&amp;$C82,'Smelter Look-up'!$J:$J,0)))</f>
        <v>208</v>
      </c>
      <c r="X82" s="227">
        <f t="shared" ca="1" si="12"/>
        <v>0</v>
      </c>
      <c r="AB82" s="228" t="str">
        <f t="shared" ca="1" si="13"/>
        <v>GoldOgussa Osterreichische Gold- und Silber-Scheideanstalt GmbH</v>
      </c>
    </row>
    <row r="83" spans="1:28" s="227" customFormat="1" ht="20.25">
      <c r="A83" s="181" t="s">
        <v>2435</v>
      </c>
      <c r="B83" s="182" t="str">
        <f ca="1">IF(LEN(A83)=0,"",INDEX('Smelter Look-up'!$A:$A,MATCH($A83,'Smelter Look-up'!$E:$E,0)))</f>
        <v>Gold</v>
      </c>
      <c r="C83" s="186" t="str">
        <f ca="1">IF(LEN(A83)=0,"",INDEX('Smelter Look-up'!$C:$C,MATCH($A83,'Smelter Look-up'!$E:$E,0)))</f>
        <v>SungEel HiMetal Co., Ltd.</v>
      </c>
      <c r="D83" s="230"/>
      <c r="E83" s="182" t="str">
        <f ca="1">IF(ISERROR($V83),"",OFFSET('Smelter Look-up'!$D$4,$V83-4,0)&amp;"")</f>
        <v>KOREA, REPUBLIC OF</v>
      </c>
      <c r="F83" s="182" t="str">
        <f ca="1">IF(ISERROR($V83),"",OFFSET('Smelter Look-up'!$E$4,$V83-4,0))</f>
        <v>CID002918</v>
      </c>
      <c r="G83" s="182" t="str">
        <f ca="1">IF(C83=$X$4,IF(ISERROR($V83),"Enter smelter details","RMI"),IF(ISERROR($V83),"",OFFSET('Smelter Look-up'!$F$4,$V83-4,0)))</f>
        <v>RMI</v>
      </c>
      <c r="H83" s="183">
        <f ca="1">IF(ISERROR($V83),"",OFFSET('Smelter Look-up'!$G$4,$V83-4,0))</f>
        <v>0</v>
      </c>
      <c r="I83" s="184" t="str">
        <f ca="1">IF(ISERROR($V83),"",OFFSET('Smelter Look-up'!$H$4,$V83-4,0))</f>
        <v>Gunsan-si</v>
      </c>
      <c r="J83" s="184" t="str">
        <f ca="1">IF(ISERROR($V83),"",OFFSET('Smelter Look-up'!$I$4,$V83-4,0))</f>
        <v>Jeollabuk-do</v>
      </c>
      <c r="K83" s="224"/>
      <c r="L83" s="224"/>
      <c r="M83" s="224"/>
      <c r="N83" s="224"/>
      <c r="O83" s="224"/>
      <c r="P83" s="185"/>
      <c r="Q83" s="225"/>
      <c r="R83" s="182" t="str">
        <f ca="1">IF(ISERROR($V83),"",OFFSET('Smelter Look-up'!$C$4,$V83-4,0)&amp;"")</f>
        <v>SungEel HiMetal Co., Ltd.</v>
      </c>
      <c r="S83" s="181" t="str">
        <f t="shared" ca="1" si="11"/>
        <v>KR</v>
      </c>
      <c r="T83" s="181" t="str">
        <f ca="1">IF(B83="","",IF(ISERROR(MATCH($J83,SorP!$B$1:$B$6226,0)),"",INDIRECT("'SorP'!$A$"&amp;MATCH($S83&amp;$J83,SorP!C:C,0))))</f>
        <v>KR-45</v>
      </c>
      <c r="U83" s="201"/>
      <c r="V83" s="226">
        <f ca="1">IF(C83="",NA(),IF(OR(C83="Smelter not listed",C83="Smelter not yet identified"),MATCH($B83&amp;$D83,'Smelter Look-up'!$J:$J,0),MATCH($B83&amp;$C83,'Smelter Look-up'!$J:$J,0)))</f>
        <v>277</v>
      </c>
      <c r="X83" s="227">
        <f t="shared" ca="1" si="12"/>
        <v>0</v>
      </c>
      <c r="AB83" s="228" t="str">
        <f t="shared" ca="1" si="13"/>
        <v>GoldSungEel HiMetal Co., Ltd.</v>
      </c>
    </row>
    <row r="84" spans="1:28" s="227" customFormat="1" ht="20.25">
      <c r="A84" s="181" t="s">
        <v>2497</v>
      </c>
      <c r="B84" s="182" t="str">
        <f ca="1">IF(LEN(A84)=0,"",INDEX('Smelter Look-up'!$A:$A,MATCH($A84,'Smelter Look-up'!$E:$E,0)))</f>
        <v>Gold</v>
      </c>
      <c r="C84" s="186" t="str">
        <f ca="1">IF(LEN(A84)=0,"",INDEX('Smelter Look-up'!$C:$C,MATCH($A84,'Smelter Look-up'!$E:$E,0)))</f>
        <v>Planta Recuperadora de Metales SpA</v>
      </c>
      <c r="D84" s="230"/>
      <c r="E84" s="182" t="str">
        <f ca="1">IF(ISERROR($V84),"",OFFSET('Smelter Look-up'!$D$4,$V84-4,0)&amp;"")</f>
        <v>CHILE</v>
      </c>
      <c r="F84" s="182" t="str">
        <f ca="1">IF(ISERROR($V84),"",OFFSET('Smelter Look-up'!$E$4,$V84-4,0))</f>
        <v>CID002919</v>
      </c>
      <c r="G84" s="182" t="str">
        <f ca="1">IF(C84=$X$4,IF(ISERROR($V84),"Enter smelter details","RMI"),IF(ISERROR($V84),"",OFFSET('Smelter Look-up'!$F$4,$V84-4,0)))</f>
        <v>RMI</v>
      </c>
      <c r="H84" s="183">
        <f ca="1">IF(ISERROR($V84),"",OFFSET('Smelter Look-up'!$G$4,$V84-4,0))</f>
        <v>0</v>
      </c>
      <c r="I84" s="184" t="str">
        <f ca="1">IF(ISERROR($V84),"",OFFSET('Smelter Look-up'!$H$4,$V84-4,0))</f>
        <v>Mejillones</v>
      </c>
      <c r="J84" s="184" t="str">
        <f ca="1">IF(ISERROR($V84),"",OFFSET('Smelter Look-up'!$I$4,$V84-4,0))</f>
        <v>Antofagasta</v>
      </c>
      <c r="K84" s="224"/>
      <c r="L84" s="224"/>
      <c r="M84" s="224"/>
      <c r="N84" s="224"/>
      <c r="O84" s="224"/>
      <c r="P84" s="185"/>
      <c r="Q84" s="225"/>
      <c r="R84" s="182" t="str">
        <f ca="1">IF(ISERROR($V84),"",OFFSET('Smelter Look-up'!$C$4,$V84-4,0)&amp;"")</f>
        <v>Planta Recuperadora de Metales SpA</v>
      </c>
      <c r="S84" s="181" t="str">
        <f t="shared" ca="1" si="11"/>
        <v>CL</v>
      </c>
      <c r="T84" s="181" t="str">
        <f ca="1">IF(B84="","",IF(ISERROR(MATCH($J84,SorP!$B$1:$B$6226,0)),"",INDIRECT("'SorP'!$A$"&amp;MATCH($S84&amp;$J84,SorP!C:C,0))))</f>
        <v>CL-AN</v>
      </c>
      <c r="U84" s="201"/>
      <c r="V84" s="226">
        <f ca="1">IF(C84="",NA(),IF(OR(C84="Smelter not listed",C84="Smelter not yet identified"),MATCH($B84&amp;$D84,'Smelter Look-up'!$J:$J,0),MATCH($B84&amp;$C84,'Smelter Look-up'!$J:$J,0)))</f>
        <v>220</v>
      </c>
      <c r="X84" s="227">
        <f t="shared" ca="1" si="12"/>
        <v>0</v>
      </c>
      <c r="AB84" s="228" t="str">
        <f t="shared" ca="1" si="13"/>
        <v>GoldPlanta Recuperadora de Metales SpA</v>
      </c>
    </row>
    <row r="85" spans="1:28" s="227" customFormat="1" ht="20.25">
      <c r="A85" s="181" t="s">
        <v>12899</v>
      </c>
      <c r="B85" s="182" t="str">
        <f ca="1">IF(LEN(A85)=0,"",INDEX('Smelter Look-up'!$A:$A,MATCH($A85,'Smelter Look-up'!$E:$E,0)))</f>
        <v>Gold</v>
      </c>
      <c r="C85" s="186" t="str">
        <f ca="1">IF(LEN(A85)=0,"",INDEX('Smelter Look-up'!$C:$C,MATCH($A85,'Smelter Look-up'!$E:$E,0)))</f>
        <v>NH Recytech Company</v>
      </c>
      <c r="D85" s="230"/>
      <c r="E85" s="182" t="str">
        <f ca="1">IF(ISERROR($V85),"",OFFSET('Smelter Look-up'!$D$4,$V85-4,0)&amp;"")</f>
        <v>KOREA, REPUBLIC OF</v>
      </c>
      <c r="F85" s="182" t="str">
        <f ca="1">IF(ISERROR($V85),"",OFFSET('Smelter Look-up'!$E$4,$V85-4,0))</f>
        <v>CID003189</v>
      </c>
      <c r="G85" s="182" t="str">
        <f ca="1">IF(C85=$X$4,IF(ISERROR($V85),"Enter smelter details","RMI"),IF(ISERROR($V85),"",OFFSET('Smelter Look-up'!$F$4,$V85-4,0)))</f>
        <v>RMI</v>
      </c>
      <c r="H85" s="183">
        <f ca="1">IF(ISERROR($V85),"",OFFSET('Smelter Look-up'!$G$4,$V85-4,0))</f>
        <v>0</v>
      </c>
      <c r="I85" s="184" t="str">
        <f ca="1">IF(ISERROR($V85),"",OFFSET('Smelter Look-up'!$H$4,$V85-4,0))</f>
        <v>Pyeongtaek-si</v>
      </c>
      <c r="J85" s="184" t="str">
        <f ca="1">IF(ISERROR($V85),"",OFFSET('Smelter Look-up'!$I$4,$V85-4,0))</f>
        <v>Gyeonggi-do</v>
      </c>
      <c r="K85" s="224"/>
      <c r="L85" s="224"/>
      <c r="M85" s="224"/>
      <c r="N85" s="224"/>
      <c r="O85" s="224"/>
      <c r="P85" s="185"/>
      <c r="Q85" s="225"/>
      <c r="R85" s="182" t="str">
        <f ca="1">IF(ISERROR($V85),"",OFFSET('Smelter Look-up'!$C$4,$V85-4,0)&amp;"")</f>
        <v>NH Recytech Company</v>
      </c>
      <c r="S85" s="181" t="str">
        <f t="shared" ca="1" si="11"/>
        <v>KR</v>
      </c>
      <c r="T85" s="181" t="str">
        <f ca="1">IF(B85="","",IF(ISERROR(MATCH($J85,SorP!$B$1:$B$6226,0)),"",INDIRECT("'SorP'!$A$"&amp;MATCH($S85&amp;$J85,SorP!C:C,0))))</f>
        <v>KR-41</v>
      </c>
      <c r="U85" s="201"/>
      <c r="V85" s="226">
        <f ca="1">IF(C85="",NA(),IF(OR(C85="Smelter not listed",C85="Smelter not yet identified"),MATCH($B85&amp;$D85,'Smelter Look-up'!$J:$J,0),MATCH($B85&amp;$C85,'Smelter Look-up'!$J:$J,0)))</f>
        <v>203</v>
      </c>
      <c r="X85" s="227">
        <f t="shared" ca="1" si="12"/>
        <v>0</v>
      </c>
      <c r="AB85" s="228" t="str">
        <f t="shared" ca="1" si="13"/>
        <v>GoldNH Recytech Company</v>
      </c>
    </row>
    <row r="86" spans="1:28" s="227" customFormat="1" ht="20.25">
      <c r="A86" s="181" t="s">
        <v>13834</v>
      </c>
      <c r="B86" s="182" t="str">
        <f ca="1">IF(LEN(A86)=0,"",INDEX('Smelter Look-up'!$A:$A,MATCH($A86,'Smelter Look-up'!$E:$E,0)))</f>
        <v>Gold</v>
      </c>
      <c r="C86" s="186" t="str">
        <f ca="1">IF(LEN(A86)=0,"",INDEX('Smelter Look-up'!$C:$C,MATCH($A86,'Smelter Look-up'!$E:$E,0)))</f>
        <v>Eco-System Recycling Co., Ltd. North Plant</v>
      </c>
      <c r="D86" s="230"/>
      <c r="E86" s="182" t="str">
        <f ca="1">IF(ISERROR($V86),"",OFFSET('Smelter Look-up'!$D$4,$V86-4,0)&amp;"")</f>
        <v>JAPAN</v>
      </c>
      <c r="F86" s="182" t="str">
        <f ca="1">IF(ISERROR($V86),"",OFFSET('Smelter Look-up'!$E$4,$V86-4,0))</f>
        <v>CID003424</v>
      </c>
      <c r="G86" s="182" t="str">
        <f ca="1">IF(C86=$X$4,IF(ISERROR($V86),"Enter smelter details","RMI"),IF(ISERROR($V86),"",OFFSET('Smelter Look-up'!$F$4,$V86-4,0)))</f>
        <v>RMI</v>
      </c>
      <c r="H86" s="183">
        <f ca="1">IF(ISERROR($V86),"",OFFSET('Smelter Look-up'!$G$4,$V86-4,0))</f>
        <v>0</v>
      </c>
      <c r="I86" s="184" t="str">
        <f ca="1">IF(ISERROR($V86),"",OFFSET('Smelter Look-up'!$H$4,$V86-4,0))</f>
        <v>Kazuno</v>
      </c>
      <c r="J86" s="184" t="str">
        <f ca="1">IF(ISERROR($V86),"",OFFSET('Smelter Look-up'!$I$4,$V86-4,0))</f>
        <v>Akita</v>
      </c>
      <c r="K86" s="224"/>
      <c r="L86" s="224"/>
      <c r="M86" s="224"/>
      <c r="N86" s="224"/>
      <c r="O86" s="224"/>
      <c r="P86" s="185"/>
      <c r="Q86" s="225"/>
      <c r="R86" s="182" t="str">
        <f ca="1">IF(ISERROR($V86),"",OFFSET('Smelter Look-up'!$C$4,$V86-4,0)&amp;"")</f>
        <v>Eco-System Recycling Co., Ltd. North Plant</v>
      </c>
      <c r="S86" s="181" t="str">
        <f t="shared" ca="1" si="11"/>
        <v>JP</v>
      </c>
      <c r="T86" s="181" t="str">
        <f ca="1">IF(B86="","",IF(ISERROR(MATCH($J86,SorP!$B$1:$B$6226,0)),"",INDIRECT("'SorP'!$A$"&amp;MATCH($S86&amp;$J86,SorP!C:C,0))))</f>
        <v>JP-05</v>
      </c>
      <c r="U86" s="201"/>
      <c r="V86" s="226">
        <f ca="1">IF(C86="",NA(),IF(OR(C86="Smelter not listed",C86="Smelter not yet identified"),MATCH($B86&amp;$D86,'Smelter Look-up'!$J:$J,0),MATCH($B86&amp;$C86,'Smelter Look-up'!$J:$J,0)))</f>
        <v>75</v>
      </c>
      <c r="X86" s="227">
        <f t="shared" ca="1" si="12"/>
        <v>0</v>
      </c>
      <c r="AB86" s="228" t="str">
        <f t="shared" ca="1" si="13"/>
        <v>GoldEco-System Recycling Co., Ltd. North Plant</v>
      </c>
    </row>
    <row r="87" spans="1:28" s="227" customFormat="1" ht="20.25">
      <c r="A87" s="181" t="s">
        <v>13835</v>
      </c>
      <c r="B87" s="182" t="str">
        <f ca="1">IF(LEN(A87)=0,"",INDEX('Smelter Look-up'!$A:$A,MATCH($A87,'Smelter Look-up'!$E:$E,0)))</f>
        <v>Gold</v>
      </c>
      <c r="C87" s="186" t="str">
        <f ca="1">IF(LEN(A87)=0,"",INDEX('Smelter Look-up'!$C:$C,MATCH($A87,'Smelter Look-up'!$E:$E,0)))</f>
        <v>Eco-System Recycling Co., Ltd. West Plant</v>
      </c>
      <c r="D87" s="230"/>
      <c r="E87" s="182" t="str">
        <f ca="1">IF(ISERROR($V87),"",OFFSET('Smelter Look-up'!$D$4,$V87-4,0)&amp;"")</f>
        <v>JAPAN</v>
      </c>
      <c r="F87" s="182" t="str">
        <f ca="1">IF(ISERROR($V87),"",OFFSET('Smelter Look-up'!$E$4,$V87-4,0))</f>
        <v>CID003425</v>
      </c>
      <c r="G87" s="182" t="str">
        <f ca="1">IF(C87=$X$4,IF(ISERROR($V87),"Enter smelter details","RMI"),IF(ISERROR($V87),"",OFFSET('Smelter Look-up'!$F$4,$V87-4,0)))</f>
        <v>RMI</v>
      </c>
      <c r="H87" s="183">
        <f ca="1">IF(ISERROR($V87),"",OFFSET('Smelter Look-up'!$G$4,$V87-4,0))</f>
        <v>0</v>
      </c>
      <c r="I87" s="184" t="str">
        <f ca="1">IF(ISERROR($V87),"",OFFSET('Smelter Look-up'!$H$4,$V87-4,0))</f>
        <v>Okayama</v>
      </c>
      <c r="J87" s="184" t="str">
        <f ca="1">IF(ISERROR($V87),"",OFFSET('Smelter Look-up'!$I$4,$V87-4,0))</f>
        <v>Okayama</v>
      </c>
      <c r="K87" s="224"/>
      <c r="L87" s="224"/>
      <c r="M87" s="224"/>
      <c r="N87" s="224"/>
      <c r="O87" s="224"/>
      <c r="P87" s="185"/>
      <c r="Q87" s="225"/>
      <c r="R87" s="182" t="str">
        <f ca="1">IF(ISERROR($V87),"",OFFSET('Smelter Look-up'!$C$4,$V87-4,0)&amp;"")</f>
        <v>Eco-System Recycling Co., Ltd. West Plant</v>
      </c>
      <c r="S87" s="181" t="str">
        <f t="shared" ca="1" si="11"/>
        <v>JP</v>
      </c>
      <c r="T87" s="181" t="str">
        <f ca="1">IF(B87="","",IF(ISERROR(MATCH($J87,SorP!$B$1:$B$6226,0)),"",INDIRECT("'SorP'!$A$"&amp;MATCH($S87&amp;$J87,SorP!C:C,0))))</f>
        <v>JP-33</v>
      </c>
      <c r="U87" s="201"/>
      <c r="V87" s="226">
        <f ca="1">IF(C87="",NA(),IF(OR(C87="Smelter not listed",C87="Smelter not yet identified"),MATCH($B87&amp;$D87,'Smelter Look-up'!$J:$J,0),MATCH($B87&amp;$C87,'Smelter Look-up'!$J:$J,0)))</f>
        <v>76</v>
      </c>
      <c r="X87" s="227">
        <f t="shared" ca="1" si="12"/>
        <v>0</v>
      </c>
      <c r="AB87" s="228" t="str">
        <f t="shared" ca="1" si="13"/>
        <v>GoldEco-System Recycling Co., Ltd. West Plant</v>
      </c>
    </row>
    <row r="88" spans="1:28" s="227" customFormat="1" ht="20.25">
      <c r="A88" s="181" t="s">
        <v>15038</v>
      </c>
      <c r="B88" s="182" t="str">
        <f ca="1">IF(LEN(A88)=0,"",INDEX('Smelter Look-up'!$A:$A,MATCH($A88,'Smelter Look-up'!$E:$E,0)))</f>
        <v>Gold</v>
      </c>
      <c r="C88" s="186" t="str">
        <f ca="1">IF(LEN(A88)=0,"",INDEX('Smelter Look-up'!$C:$C,MATCH($A88,'Smelter Look-up'!$E:$E,0)))</f>
        <v>Metal Concentrators SA (Pty) Ltd.</v>
      </c>
      <c r="D88" s="230"/>
      <c r="E88" s="182" t="str">
        <f ca="1">IF(ISERROR($V88),"",OFFSET('Smelter Look-up'!$D$4,$V88-4,0)&amp;"")</f>
        <v>SOUTH AFRICA</v>
      </c>
      <c r="F88" s="182" t="str">
        <f ca="1">IF(ISERROR($V88),"",OFFSET('Smelter Look-up'!$E$4,$V88-4,0))</f>
        <v>CID003575</v>
      </c>
      <c r="G88" s="182" t="str">
        <f ca="1">IF(C88=$X$4,IF(ISERROR($V88),"Enter smelter details","RMI"),IF(ISERROR($V88),"",OFFSET('Smelter Look-up'!$F$4,$V88-4,0)))</f>
        <v>RMI</v>
      </c>
      <c r="H88" s="183">
        <f ca="1">IF(ISERROR($V88),"",OFFSET('Smelter Look-up'!$G$4,$V88-4,0))</f>
        <v>0</v>
      </c>
      <c r="I88" s="184" t="str">
        <f ca="1">IF(ISERROR($V88),"",OFFSET('Smelter Look-up'!$H$4,$V88-4,0))</f>
        <v>Kempton Park</v>
      </c>
      <c r="J88" s="184" t="str">
        <f ca="1">IF(ISERROR($V88),"",OFFSET('Smelter Look-up'!$I$4,$V88-4,0))</f>
        <v>Gauteng</v>
      </c>
      <c r="K88" s="224"/>
      <c r="L88" s="224"/>
      <c r="M88" s="224"/>
      <c r="N88" s="224"/>
      <c r="O88" s="224"/>
      <c r="P88" s="185"/>
      <c r="Q88" s="225"/>
      <c r="R88" s="182" t="str">
        <f ca="1">IF(ISERROR($V88),"",OFFSET('Smelter Look-up'!$C$4,$V88-4,0)&amp;"")</f>
        <v>Metal Concentrators SA (Pty) Ltd.</v>
      </c>
      <c r="S88" s="181" t="str">
        <f t="shared" ca="1" si="11"/>
        <v>ZA</v>
      </c>
      <c r="T88" s="181" t="str">
        <f ca="1">IF(B88="","",IF(ISERROR(MATCH($J88,SorP!$B$1:$B$6226,0)),"",INDIRECT("'SorP'!$A$"&amp;MATCH($S88&amp;$J88,SorP!C:C,0))))</f>
        <v>ZA-GP</v>
      </c>
      <c r="U88" s="201"/>
      <c r="V88" s="226">
        <f ca="1">IF(C88="",NA(),IF(OR(C88="Smelter not listed",C88="Smelter not yet identified"),MATCH($B88&amp;$D88,'Smelter Look-up'!$J:$J,0),MATCH($B88&amp;$C88,'Smelter Look-up'!$J:$J,0)))</f>
        <v>178</v>
      </c>
      <c r="X88" s="227">
        <f t="shared" ca="1" si="12"/>
        <v>0</v>
      </c>
      <c r="AB88" s="228" t="str">
        <f t="shared" ca="1" si="13"/>
        <v>GoldMetal Concentrators SA (Pty) Ltd.</v>
      </c>
    </row>
    <row r="89" spans="1:28" s="227" customFormat="1" ht="20.25">
      <c r="A89" s="181" t="s">
        <v>15046</v>
      </c>
      <c r="B89" s="182" t="str">
        <f ca="1">IF(LEN(A89)=0,"",INDEX('Smelter Look-up'!$A:$A,MATCH($A89,'Smelter Look-up'!$E:$E,0)))</f>
        <v>Gold</v>
      </c>
      <c r="C89" s="186" t="str">
        <f ca="1">IF(LEN(A89)=0,"",INDEX('Smelter Look-up'!$C:$C,MATCH($A89,'Smelter Look-up'!$E:$E,0)))</f>
        <v>WEEEREFINING</v>
      </c>
      <c r="D89" s="230"/>
      <c r="E89" s="182" t="str">
        <f ca="1">IF(ISERROR($V89),"",OFFSET('Smelter Look-up'!$D$4,$V89-4,0)&amp;"")</f>
        <v>FRANCE</v>
      </c>
      <c r="F89" s="182" t="str">
        <f ca="1">IF(ISERROR($V89),"",OFFSET('Smelter Look-up'!$E$4,$V89-4,0))</f>
        <v>CID003615</v>
      </c>
      <c r="G89" s="182" t="str">
        <f ca="1">IF(C89=$X$4,IF(ISERROR($V89),"Enter smelter details","RMI"),IF(ISERROR($V89),"",OFFSET('Smelter Look-up'!$F$4,$V89-4,0)))</f>
        <v>RMI</v>
      </c>
      <c r="H89" s="183">
        <f ca="1">IF(ISERROR($V89),"",OFFSET('Smelter Look-up'!$G$4,$V89-4,0))</f>
        <v>0</v>
      </c>
      <c r="I89" s="184" t="str">
        <f ca="1">IF(ISERROR($V89),"",OFFSET('Smelter Look-up'!$H$4,$V89-4,0))</f>
        <v>Tourville-les-Ifs</v>
      </c>
      <c r="J89" s="184" t="str">
        <f ca="1">IF(ISERROR($V89),"",OFFSET('Smelter Look-up'!$I$4,$V89-4,0))</f>
        <v>Normandie</v>
      </c>
      <c r="K89" s="224"/>
      <c r="L89" s="224"/>
      <c r="M89" s="224"/>
      <c r="N89" s="224"/>
      <c r="O89" s="224"/>
      <c r="P89" s="185"/>
      <c r="Q89" s="225"/>
      <c r="R89" s="182" t="str">
        <f ca="1">IF(ISERROR($V89),"",OFFSET('Smelter Look-up'!$C$4,$V89-4,0)&amp;"")</f>
        <v>WEEEREFINING</v>
      </c>
      <c r="S89" s="181" t="str">
        <f t="shared" ca="1" si="11"/>
        <v>FR</v>
      </c>
      <c r="T89" s="181" t="str">
        <f ca="1">IF(B89="","",IF(ISERROR(MATCH($J89,SorP!$B$1:$B$6226,0)),"",INDIRECT("'SorP'!$A$"&amp;MATCH($S89&amp;$J89,SorP!C:C,0))))</f>
        <v>FR-NOR</v>
      </c>
      <c r="U89" s="201"/>
      <c r="V89" s="226">
        <f ca="1">IF(C89="",NA(),IF(OR(C89="Smelter not listed",C89="Smelter not yet identified"),MATCH($B89&amp;$D89,'Smelter Look-up'!$J:$J,0),MATCH($B89&amp;$C89,'Smelter Look-up'!$J:$J,0)))</f>
        <v>306</v>
      </c>
      <c r="X89" s="227">
        <f t="shared" ca="1" si="12"/>
        <v>0</v>
      </c>
      <c r="AB89" s="228" t="str">
        <f t="shared" ca="1" si="13"/>
        <v>GoldWEEEREFINING</v>
      </c>
    </row>
    <row r="90" spans="1:28" s="227" customFormat="1" ht="20.25">
      <c r="A90" s="181" t="s">
        <v>15417</v>
      </c>
      <c r="B90" s="182" t="str">
        <f ca="1">IF(LEN(A90)=0,"",INDEX('Smelter Look-up'!$A:$A,MATCH($A90,'Smelter Look-up'!$E:$E,0)))</f>
        <v>Gold</v>
      </c>
      <c r="C90" s="186" t="str">
        <f ca="1">IF(LEN(A90)=0,"",INDEX('Smelter Look-up'!$C:$C,MATCH($A90,'Smelter Look-up'!$E:$E,0)))</f>
        <v>Gold by Gold Colombia</v>
      </c>
      <c r="D90" s="230"/>
      <c r="E90" s="182" t="str">
        <f ca="1">IF(ISERROR($V90),"",OFFSET('Smelter Look-up'!$D$4,$V90-4,0)&amp;"")</f>
        <v>COLOMBIA</v>
      </c>
      <c r="F90" s="182" t="str">
        <f ca="1">IF(ISERROR($V90),"",OFFSET('Smelter Look-up'!$E$4,$V90-4,0))</f>
        <v>CID003641</v>
      </c>
      <c r="G90" s="182" t="str">
        <f ca="1">IF(C90=$X$4,IF(ISERROR($V90),"Enter smelter details","RMI"),IF(ISERROR($V90),"",OFFSET('Smelter Look-up'!$F$4,$V90-4,0)))</f>
        <v>RMI</v>
      </c>
      <c r="H90" s="183">
        <f ca="1">IF(ISERROR($V90),"",OFFSET('Smelter Look-up'!$G$4,$V90-4,0))</f>
        <v>0</v>
      </c>
      <c r="I90" s="184" t="str">
        <f ca="1">IF(ISERROR($V90),"",OFFSET('Smelter Look-up'!$H$4,$V90-4,0))</f>
        <v>Medellín</v>
      </c>
      <c r="J90" s="184" t="str">
        <f ca="1">IF(ISERROR($V90),"",OFFSET('Smelter Look-up'!$I$4,$V90-4,0))</f>
        <v>Antioquia</v>
      </c>
      <c r="K90" s="224"/>
      <c r="L90" s="224"/>
      <c r="M90" s="224"/>
      <c r="N90" s="224"/>
      <c r="O90" s="224"/>
      <c r="P90" s="185"/>
      <c r="Q90" s="225"/>
      <c r="R90" s="182" t="str">
        <f ca="1">IF(ISERROR($V90),"",OFFSET('Smelter Look-up'!$C$4,$V90-4,0)&amp;"")</f>
        <v>Gold by Gold Colombia</v>
      </c>
      <c r="S90" s="181" t="str">
        <f t="shared" ca="1" si="11"/>
        <v>CO</v>
      </c>
      <c r="T90" s="181" t="str">
        <f ca="1">IF(B90="","",IF(ISERROR(MATCH($J90,SorP!$B$1:$B$6226,0)),"",INDIRECT("'SorP'!$A$"&amp;MATCH($S90&amp;$J90,SorP!C:C,0))))</f>
        <v>CO-ANT</v>
      </c>
      <c r="U90" s="201"/>
      <c r="V90" s="226">
        <f ca="1">IF(C90="",NA(),IF(OR(C90="Smelter not listed",C90="Smelter not yet identified"),MATCH($B90&amp;$D90,'Smelter Look-up'!$J:$J,0),MATCH($B90&amp;$C90,'Smelter Look-up'!$J:$J,0)))</f>
        <v>93</v>
      </c>
      <c r="X90" s="227">
        <f t="shared" ca="1" si="12"/>
        <v>0</v>
      </c>
      <c r="AB90" s="228" t="str">
        <f t="shared" ca="1" si="13"/>
        <v>GoldGold by Gold Colombia</v>
      </c>
    </row>
    <row r="91" spans="1:28" s="227" customFormat="1" ht="20.25">
      <c r="A91" s="181" t="s">
        <v>15488</v>
      </c>
      <c r="B91" s="182" t="str">
        <f ca="1">IF(LEN(A91)=0,"",INDEX('Smelter Look-up'!$A:$A,MATCH($A91,'Smelter Look-up'!$E:$E,0)))</f>
        <v>Gold</v>
      </c>
      <c r="C91" s="186" t="str">
        <f ca="1">IF(LEN(A91)=0,"",INDEX('Smelter Look-up'!$C:$C,MATCH($A91,'Smelter Look-up'!$E:$E,0)))</f>
        <v>Coimpa Industrial LTDA</v>
      </c>
      <c r="D91" s="230"/>
      <c r="E91" s="182" t="str">
        <f ca="1">IF(ISERROR($V91),"",OFFSET('Smelter Look-up'!$D$4,$V91-4,0)&amp;"")</f>
        <v>BRAZIL</v>
      </c>
      <c r="F91" s="182" t="str">
        <f ca="1">IF(ISERROR($V91),"",OFFSET('Smelter Look-up'!$E$4,$V91-4,0))</f>
        <v>CID004010</v>
      </c>
      <c r="G91" s="182" t="str">
        <f ca="1">IF(C91=$X$4,IF(ISERROR($V91),"Enter smelter details","RMI"),IF(ISERROR($V91),"",OFFSET('Smelter Look-up'!$F$4,$V91-4,0)))</f>
        <v>RMI</v>
      </c>
      <c r="H91" s="183">
        <f ca="1">IF(ISERROR($V91),"",OFFSET('Smelter Look-up'!$G$4,$V91-4,0))</f>
        <v>0</v>
      </c>
      <c r="I91" s="184" t="str">
        <f ca="1">IF(ISERROR($V91),"",OFFSET('Smelter Look-up'!$H$4,$V91-4,0))</f>
        <v>Manaus</v>
      </c>
      <c r="J91" s="184" t="str">
        <f ca="1">IF(ISERROR($V91),"",OFFSET('Smelter Look-up'!$I$4,$V91-4,0))</f>
        <v>Amazonas</v>
      </c>
      <c r="K91" s="224"/>
      <c r="L91" s="224"/>
      <c r="M91" s="224"/>
      <c r="N91" s="224"/>
      <c r="O91" s="224"/>
      <c r="P91" s="185"/>
      <c r="Q91" s="225"/>
      <c r="R91" s="182" t="str">
        <f ca="1">IF(ISERROR($V91),"",OFFSET('Smelter Look-up'!$C$4,$V91-4,0)&amp;"")</f>
        <v>Coimpa Industrial LTDA</v>
      </c>
      <c r="S91" s="181" t="str">
        <f t="shared" ca="1" si="11"/>
        <v>BR</v>
      </c>
      <c r="T91" s="181" t="str">
        <f ca="1">IF(B91="","",IF(ISERROR(MATCH($J91,SorP!$B$1:$B$6226,0)),"",INDIRECT("'SorP'!$A$"&amp;MATCH($S91&amp;$J91,SorP!C:C,0))))</f>
        <v>BR-AM</v>
      </c>
      <c r="U91" s="201"/>
      <c r="V91" s="226">
        <f ca="1">IF(C91="",NA(),IF(OR(C91="Smelter not listed",C91="Smelter not yet identified"),MATCH($B91&amp;$D91,'Smelter Look-up'!$J:$J,0),MATCH($B91&amp;$C91,'Smelter Look-up'!$J:$J,0)))</f>
        <v>61</v>
      </c>
      <c r="X91" s="227">
        <f t="shared" ca="1" si="12"/>
        <v>0</v>
      </c>
      <c r="AB91" s="228" t="str">
        <f t="shared" ca="1" si="13"/>
        <v>GoldCoimpa Industrial LTDA</v>
      </c>
    </row>
    <row r="92" spans="1:28" s="227" customFormat="1" ht="20.25">
      <c r="A92" s="181" t="s">
        <v>2261</v>
      </c>
      <c r="B92" s="182" t="str">
        <f ca="1">IF(LEN(A92)=0,"",INDEX('Smelter Look-up'!$A:$A,MATCH($A92,'Smelter Look-up'!$E:$E,0)))</f>
        <v>Tin</v>
      </c>
      <c r="C92" s="186" t="str">
        <f ca="1">IF(LEN(A92)=0,"",INDEX('Smelter Look-up'!$C:$C,MATCH($A92,'Smelter Look-up'!$E:$E,0)))</f>
        <v>Chenzhou Yunxiang Mining and Metallurgy Co., Ltd.</v>
      </c>
      <c r="D92" s="230"/>
      <c r="E92" s="182" t="str">
        <f ca="1">IF(ISERROR($V92),"",OFFSET('Smelter Look-up'!$D$4,$V92-4,0)&amp;"")</f>
        <v>CHINA</v>
      </c>
      <c r="F92" s="182" t="str">
        <f ca="1">IF(ISERROR($V92),"",OFFSET('Smelter Look-up'!$E$4,$V92-4,0))</f>
        <v>CID000228</v>
      </c>
      <c r="G92" s="182" t="str">
        <f ca="1">IF(C92=$X$4,IF(ISERROR($V92),"Enter smelter details","RMI"),IF(ISERROR($V92),"",OFFSET('Smelter Look-up'!$F$4,$V92-4,0)))</f>
        <v>RMI</v>
      </c>
      <c r="H92" s="183">
        <f ca="1">IF(ISERROR($V92),"",OFFSET('Smelter Look-up'!$G$4,$V92-4,0))</f>
        <v>0</v>
      </c>
      <c r="I92" s="184" t="str">
        <f ca="1">IF(ISERROR($V92),"",OFFSET('Smelter Look-up'!$H$4,$V92-4,0))</f>
        <v>Chenzhou</v>
      </c>
      <c r="J92" s="184" t="str">
        <f ca="1">IF(ISERROR($V92),"",OFFSET('Smelter Look-up'!$I$4,$V92-4,0))</f>
        <v>Hunan Sheng</v>
      </c>
      <c r="K92" s="224"/>
      <c r="L92" s="224"/>
      <c r="M92" s="224"/>
      <c r="N92" s="224"/>
      <c r="O92" s="224"/>
      <c r="P92" s="185"/>
      <c r="Q92" s="225"/>
      <c r="R92" s="182" t="str">
        <f ca="1">IF(ISERROR($V92),"",OFFSET('Smelter Look-up'!$C$4,$V92-4,0)&amp;"")</f>
        <v>Chenzhou Yunxiang Mining and Metallurgy Co., Ltd.</v>
      </c>
      <c r="S92" s="181" t="str">
        <f t="shared" ca="1" si="11"/>
        <v>CN</v>
      </c>
      <c r="T92" s="181" t="str">
        <f ca="1">IF(B92="","",IF(ISERROR(MATCH($J92,SorP!$B$1:$B$6226,0)),"",INDIRECT("'SorP'!$A$"&amp;MATCH($S92&amp;$J92,SorP!C:C,0))))</f>
        <v>CN-HN</v>
      </c>
      <c r="U92" s="201"/>
      <c r="V92" s="226">
        <f ca="1">IF(C92="",NA(),IF(OR(C92="Smelter not listed",C92="Smelter not yet identified"),MATCH($B92&amp;$D92,'Smelter Look-up'!$J:$J,0),MATCH($B92&amp;$C92,'Smelter Look-up'!$J:$J,0)))</f>
        <v>411</v>
      </c>
      <c r="X92" s="227">
        <f t="shared" ca="1" si="12"/>
        <v>0</v>
      </c>
      <c r="AB92" s="228" t="str">
        <f t="shared" ca="1" si="13"/>
        <v>TinChenzhou Yunxiang Mining and Metallurgy Co., Ltd.</v>
      </c>
    </row>
    <row r="93" spans="1:28" s="227" customFormat="1" ht="20.25">
      <c r="A93" s="181" t="s">
        <v>758</v>
      </c>
      <c r="B93" s="182" t="str">
        <f ca="1">IF(LEN(A93)=0,"",INDEX('Smelter Look-up'!$A:$A,MATCH($A93,'Smelter Look-up'!$E:$E,0)))</f>
        <v>Tin</v>
      </c>
      <c r="C93" s="186" t="str">
        <f ca="1">IF(LEN(A93)=0,"",INDEX('Smelter Look-up'!$C:$C,MATCH($A93,'Smelter Look-up'!$E:$E,0)))</f>
        <v>Alpha</v>
      </c>
      <c r="D93" s="230"/>
      <c r="E93" s="182" t="str">
        <f ca="1">IF(ISERROR($V93),"",OFFSET('Smelter Look-up'!$D$4,$V93-4,0)&amp;"")</f>
        <v>UNITED STATES OF AMERICA</v>
      </c>
      <c r="F93" s="182" t="str">
        <f ca="1">IF(ISERROR($V93),"",OFFSET('Smelter Look-up'!$E$4,$V93-4,0))</f>
        <v>CID000292</v>
      </c>
      <c r="G93" s="182" t="str">
        <f ca="1">IF(C93=$X$4,IF(ISERROR($V93),"Enter smelter details","RMI"),IF(ISERROR($V93),"",OFFSET('Smelter Look-up'!$F$4,$V93-4,0)))</f>
        <v>RMI</v>
      </c>
      <c r="H93" s="183">
        <f ca="1">IF(ISERROR($V93),"",OFFSET('Smelter Look-up'!$G$4,$V93-4,0))</f>
        <v>0</v>
      </c>
      <c r="I93" s="184" t="str">
        <f ca="1">IF(ISERROR($V93),"",OFFSET('Smelter Look-up'!$H$4,$V93-4,0))</f>
        <v>Altoona</v>
      </c>
      <c r="J93" s="184" t="str">
        <f ca="1">IF(ISERROR($V93),"",OFFSET('Smelter Look-up'!$I$4,$V93-4,0))</f>
        <v>Pennsylvania</v>
      </c>
      <c r="K93" s="224"/>
      <c r="L93" s="224"/>
      <c r="M93" s="224"/>
      <c r="N93" s="224"/>
      <c r="O93" s="224"/>
      <c r="P93" s="185"/>
      <c r="Q93" s="225"/>
      <c r="R93" s="182" t="str">
        <f ca="1">IF(ISERROR($V93),"",OFFSET('Smelter Look-up'!$C$4,$V93-4,0)&amp;"")</f>
        <v>Alpha</v>
      </c>
      <c r="S93" s="181" t="str">
        <f t="shared" ca="1" si="11"/>
        <v>US</v>
      </c>
      <c r="T93" s="181" t="str">
        <f ca="1">IF(B93="","",IF(ISERROR(MATCH($J93,SorP!$B$1:$B$6226,0)),"",INDIRECT("'SorP'!$A$"&amp;MATCH($S93&amp;$J93,SorP!C:C,0))))</f>
        <v>US-PA</v>
      </c>
      <c r="U93" s="201"/>
      <c r="V93" s="226">
        <f ca="1">IF(C93="",NA(),IF(OR(C93="Smelter not listed",C93="Smelter not yet identified"),MATCH($B93&amp;$D93,'Smelter Look-up'!$J:$J,0),MATCH($B93&amp;$C93,'Smelter Look-up'!$J:$J,0)))</f>
        <v>400</v>
      </c>
      <c r="X93" s="227">
        <f t="shared" ca="1" si="12"/>
        <v>0</v>
      </c>
      <c r="AB93" s="228" t="str">
        <f t="shared" ca="1" si="13"/>
        <v>TinAlpha</v>
      </c>
    </row>
    <row r="94" spans="1:28" s="227" customFormat="1" ht="20.25">
      <c r="A94" s="181" t="s">
        <v>15063</v>
      </c>
      <c r="B94" s="182" t="str">
        <f ca="1">IF(LEN(A94)=0,"",INDEX('Smelter Look-up'!$A:$A,MATCH($A94,'Smelter Look-up'!$E:$E,0)))</f>
        <v>Tin</v>
      </c>
      <c r="C94" s="186" t="str">
        <f ca="1">IF(LEN(A94)=0,"",INDEX('Smelter Look-up'!$C:$C,MATCH($A94,'Smelter Look-up'!$E:$E,0)))</f>
        <v>PT Aries Kencana Sejahtera</v>
      </c>
      <c r="D94" s="230"/>
      <c r="E94" s="182" t="str">
        <f ca="1">IF(ISERROR($V94),"",OFFSET('Smelter Look-up'!$D$4,$V94-4,0)&amp;"")</f>
        <v>INDONESIA</v>
      </c>
      <c r="F94" s="182" t="str">
        <f ca="1">IF(ISERROR($V94),"",OFFSET('Smelter Look-up'!$E$4,$V94-4,0))</f>
        <v>CID000309</v>
      </c>
      <c r="G94" s="182" t="str">
        <f ca="1">IF(C94=$X$4,IF(ISERROR($V94),"Enter smelter details","RMI"),IF(ISERROR($V94),"",OFFSET('Smelter Look-up'!$F$4,$V94-4,0)))</f>
        <v>RMI</v>
      </c>
      <c r="H94" s="183">
        <f ca="1">IF(ISERROR($V94),"",OFFSET('Smelter Look-up'!$G$4,$V94-4,0))</f>
        <v>0</v>
      </c>
      <c r="I94" s="184" t="str">
        <f ca="1">IF(ISERROR($V94),"",OFFSET('Smelter Look-up'!$H$4,$V94-4,0))</f>
        <v>Pemali</v>
      </c>
      <c r="J94" s="184" t="str">
        <f ca="1">IF(ISERROR($V94),"",OFFSET('Smelter Look-up'!$I$4,$V94-4,0))</f>
        <v>Kepulauan Bangka Belitung</v>
      </c>
      <c r="K94" s="224"/>
      <c r="L94" s="224"/>
      <c r="M94" s="224"/>
      <c r="N94" s="224"/>
      <c r="O94" s="224"/>
      <c r="P94" s="185"/>
      <c r="Q94" s="225"/>
      <c r="R94" s="182" t="str">
        <f ca="1">IF(ISERROR($V94),"",OFFSET('Smelter Look-up'!$C$4,$V94-4,0)&amp;"")</f>
        <v>PT Aries Kencana Sejahtera</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503</v>
      </c>
      <c r="X94" s="227">
        <f t="shared" ca="1" si="12"/>
        <v>0</v>
      </c>
      <c r="AB94" s="228" t="str">
        <f t="shared" ca="1" si="13"/>
        <v>TinPT Aries Kencana Sejahtera</v>
      </c>
    </row>
    <row r="95" spans="1:28" s="227" customFormat="1" ht="20.25">
      <c r="A95" s="181" t="s">
        <v>15502</v>
      </c>
      <c r="B95" s="182" t="str">
        <f ca="1">IF(LEN(A95)=0,"",INDEX('Smelter Look-up'!$A:$A,MATCH($A95,'Smelter Look-up'!$E:$E,0)))</f>
        <v>Tin</v>
      </c>
      <c r="C95" s="186" t="str">
        <f ca="1">IF(LEN(A95)=0,"",INDEX('Smelter Look-up'!$C:$C,MATCH($A95,'Smelter Look-up'!$E:$E,0)))</f>
        <v>PT Premium Tin Indonesia</v>
      </c>
      <c r="D95" s="230"/>
      <c r="E95" s="182" t="str">
        <f ca="1">IF(ISERROR($V95),"",OFFSET('Smelter Look-up'!$D$4,$V95-4,0)&amp;"")</f>
        <v>INDONESIA</v>
      </c>
      <c r="F95" s="182" t="str">
        <f ca="1">IF(ISERROR($V95),"",OFFSET('Smelter Look-up'!$E$4,$V95-4,0))</f>
        <v>CID000313</v>
      </c>
      <c r="G95" s="182" t="str">
        <f ca="1">IF(C95=$X$4,IF(ISERROR($V95),"Enter smelter details","RMI"),IF(ISERROR($V95),"",OFFSET('Smelter Look-up'!$F$4,$V95-4,0)))</f>
        <v>RMI</v>
      </c>
      <c r="H95" s="183">
        <f ca="1">IF(ISERROR($V95),"",OFFSET('Smelter Look-up'!$G$4,$V95-4,0))</f>
        <v>0</v>
      </c>
      <c r="I95" s="184" t="str">
        <f ca="1">IF(ISERROR($V95),"",OFFSET('Smelter Look-up'!$H$4,$V95-4,0))</f>
        <v>Pangkalan Baru</v>
      </c>
      <c r="J95" s="184" t="str">
        <f ca="1">IF(ISERROR($V95),"",OFFSET('Smelter Look-up'!$I$4,$V95-4,0))</f>
        <v>Kepulauan Bangka Belitung</v>
      </c>
      <c r="K95" s="224"/>
      <c r="L95" s="224"/>
      <c r="M95" s="224"/>
      <c r="N95" s="224"/>
      <c r="O95" s="224"/>
      <c r="P95" s="185"/>
      <c r="Q95" s="225"/>
      <c r="R95" s="182" t="str">
        <f ca="1">IF(ISERROR($V95),"",OFFSET('Smelter Look-up'!$C$4,$V95-4,0)&amp;"")</f>
        <v>PT Premium Tin Indonesia</v>
      </c>
      <c r="S95" s="181" t="str">
        <f t="shared" ca="1" si="11"/>
        <v>ID</v>
      </c>
      <c r="T95" s="181" t="str">
        <f ca="1">IF(B95="","",IF(ISERROR(MATCH($J95,SorP!$B$1:$B$6226,0)),"",INDIRECT("'SorP'!$A$"&amp;MATCH($S95&amp;$J95,SorP!C:C,0))))</f>
        <v>ID-BB</v>
      </c>
      <c r="U95" s="201"/>
      <c r="V95" s="226">
        <f ca="1">IF(C95="",NA(),IF(OR(C95="Smelter not listed",C95="Smelter not yet identified"),MATCH($B95&amp;$D95,'Smelter Look-up'!$J:$J,0),MATCH($B95&amp;$C95,'Smelter Look-up'!$J:$J,0)))</f>
        <v>521</v>
      </c>
      <c r="X95" s="227">
        <f t="shared" ca="1" si="12"/>
        <v>0</v>
      </c>
      <c r="AB95" s="228" t="str">
        <f t="shared" ca="1" si="13"/>
        <v>TinPT Premium Tin Indonesia</v>
      </c>
    </row>
    <row r="96" spans="1:28" s="227" customFormat="1" ht="20.25">
      <c r="A96" s="181" t="s">
        <v>1398</v>
      </c>
      <c r="B96" s="182" t="str">
        <f ca="1">IF(LEN(A96)=0,"",INDEX('Smelter Look-up'!$A:$A,MATCH($A96,'Smelter Look-up'!$E:$E,0)))</f>
        <v>Tin</v>
      </c>
      <c r="C96" s="186" t="str">
        <f ca="1">IF(LEN(A96)=0,"",INDEX('Smelter Look-up'!$C:$C,MATCH($A96,'Smelter Look-up'!$E:$E,0)))</f>
        <v>Dowa</v>
      </c>
      <c r="D96" s="230"/>
      <c r="E96" s="182" t="str">
        <f ca="1">IF(ISERROR($V96),"",OFFSET('Smelter Look-up'!$D$4,$V96-4,0)&amp;"")</f>
        <v>JAPAN</v>
      </c>
      <c r="F96" s="182" t="str">
        <f ca="1">IF(ISERROR($V96),"",OFFSET('Smelter Look-up'!$E$4,$V96-4,0))</f>
        <v>CID000402</v>
      </c>
      <c r="G96" s="182" t="str">
        <f ca="1">IF(C96=$X$4,IF(ISERROR($V96),"Enter smelter details","RMI"),IF(ISERROR($V96),"",OFFSET('Smelter Look-up'!$F$4,$V96-4,0)))</f>
        <v>RMI</v>
      </c>
      <c r="H96" s="183">
        <f ca="1">IF(ISERROR($V96),"",OFFSET('Smelter Look-up'!$G$4,$V96-4,0))</f>
        <v>0</v>
      </c>
      <c r="I96" s="184" t="str">
        <f ca="1">IF(ISERROR($V96),"",OFFSET('Smelter Look-up'!$H$4,$V96-4,0))</f>
        <v>Kosaka</v>
      </c>
      <c r="J96" s="184" t="str">
        <f ca="1">IF(ISERROR($V96),"",OFFSET('Smelter Look-up'!$I$4,$V96-4,0))</f>
        <v>Akita</v>
      </c>
      <c r="K96" s="224"/>
      <c r="L96" s="224"/>
      <c r="M96" s="224"/>
      <c r="N96" s="224"/>
      <c r="O96" s="224"/>
      <c r="P96" s="185"/>
      <c r="Q96" s="225"/>
      <c r="R96" s="182" t="str">
        <f ca="1">IF(ISERROR($V96),"",OFFSET('Smelter Look-up'!$C$4,$V96-4,0)&amp;"")</f>
        <v>Dowa</v>
      </c>
      <c r="S96" s="181" t="str">
        <f t="shared" ca="1" si="11"/>
        <v>JP</v>
      </c>
      <c r="T96" s="181" t="str">
        <f ca="1">IF(B96="","",IF(ISERROR(MATCH($J96,SorP!$B$1:$B$6226,0)),"",INDIRECT("'SorP'!$A$"&amp;MATCH($S96&amp;$J96,SorP!C:C,0))))</f>
        <v>JP-05</v>
      </c>
      <c r="U96" s="201"/>
      <c r="V96" s="226">
        <f ca="1">IF(C96="",NA(),IF(OR(C96="Smelter not listed",C96="Smelter not yet identified"),MATCH($B96&amp;$D96,'Smelter Look-up'!$J:$J,0),MATCH($B96&amp;$C96,'Smelter Look-up'!$J:$J,0)))</f>
        <v>429</v>
      </c>
      <c r="X96" s="227">
        <f t="shared" ca="1" si="12"/>
        <v>0</v>
      </c>
      <c r="AB96" s="228" t="str">
        <f t="shared" ca="1" si="13"/>
        <v>TinDowa</v>
      </c>
    </row>
    <row r="97" spans="1:28" s="227" customFormat="1" ht="20.25">
      <c r="A97" s="181" t="s">
        <v>759</v>
      </c>
      <c r="B97" s="182" t="str">
        <f ca="1">IF(LEN(A97)=0,"",INDEX('Smelter Look-up'!$A:$A,MATCH($A97,'Smelter Look-up'!$E:$E,0)))</f>
        <v>Tin</v>
      </c>
      <c r="C97" s="186" t="str">
        <f ca="1">IF(LEN(A97)=0,"",INDEX('Smelter Look-up'!$C:$C,MATCH($A97,'Smelter Look-up'!$E:$E,0)))</f>
        <v>EM Vinto</v>
      </c>
      <c r="D97" s="230"/>
      <c r="E97" s="182" t="str">
        <f ca="1">IF(ISERROR($V97),"",OFFSET('Smelter Look-up'!$D$4,$V97-4,0)&amp;"")</f>
        <v>BOLIVIA (PLURINATIONAL STATE OF)</v>
      </c>
      <c r="F97" s="182" t="str">
        <f ca="1">IF(ISERROR($V97),"",OFFSET('Smelter Look-up'!$E$4,$V97-4,0))</f>
        <v>CID000438</v>
      </c>
      <c r="G97" s="182" t="str">
        <f ca="1">IF(C97=$X$4,IF(ISERROR($V97),"Enter smelter details","RMI"),IF(ISERROR($V97),"",OFFSET('Smelter Look-up'!$F$4,$V97-4,0)))</f>
        <v>RMI</v>
      </c>
      <c r="H97" s="183">
        <f ca="1">IF(ISERROR($V97),"",OFFSET('Smelter Look-up'!$G$4,$V97-4,0))</f>
        <v>0</v>
      </c>
      <c r="I97" s="184" t="str">
        <f ca="1">IF(ISERROR($V97),"",OFFSET('Smelter Look-up'!$H$4,$V97-4,0))</f>
        <v>Oruro</v>
      </c>
      <c r="J97" s="184" t="str">
        <f ca="1">IF(ISERROR($V97),"",OFFSET('Smelter Look-up'!$I$4,$V97-4,0))</f>
        <v>Oruro</v>
      </c>
      <c r="K97" s="224"/>
      <c r="L97" s="224"/>
      <c r="M97" s="224"/>
      <c r="N97" s="224"/>
      <c r="O97" s="224"/>
      <c r="P97" s="185"/>
      <c r="Q97" s="225"/>
      <c r="R97" s="182" t="str">
        <f ca="1">IF(ISERROR($V97),"",OFFSET('Smelter Look-up'!$C$4,$V97-4,0)&amp;"")</f>
        <v>EM Vinto</v>
      </c>
      <c r="S97" s="181" t="str">
        <f t="shared" ca="1" si="11"/>
        <v>BO</v>
      </c>
      <c r="T97" s="181" t="str">
        <f ca="1">IF(B97="","",IF(ISERROR(MATCH($J97,SorP!$B$1:$B$6226,0)),"",INDIRECT("'SorP'!$A$"&amp;MATCH($S97&amp;$J97,SorP!C:C,0))))</f>
        <v>BO-O</v>
      </c>
      <c r="U97" s="201"/>
      <c r="V97" s="226">
        <f ca="1">IF(C97="",NA(),IF(OR(C97="Smelter not listed",C97="Smelter not yet identified"),MATCH($B97&amp;$D97,'Smelter Look-up'!$J:$J,0),MATCH($B97&amp;$C97,'Smelter Look-up'!$J:$J,0)))</f>
        <v>433</v>
      </c>
      <c r="X97" s="227">
        <f t="shared" ca="1" si="12"/>
        <v>0</v>
      </c>
      <c r="AB97" s="228" t="str">
        <f t="shared" ca="1" si="13"/>
        <v>TinEM Vinto</v>
      </c>
    </row>
    <row r="98" spans="1:28" s="227" customFormat="1" ht="20.25">
      <c r="A98" s="181" t="s">
        <v>760</v>
      </c>
      <c r="B98" s="182" t="str">
        <f ca="1">IF(LEN(A98)=0,"",INDEX('Smelter Look-up'!$A:$A,MATCH($A98,'Smelter Look-up'!$E:$E,0)))</f>
        <v>Tin</v>
      </c>
      <c r="C98" s="186" t="str">
        <f ca="1">IF(LEN(A98)=0,"",INDEX('Smelter Look-up'!$C:$C,MATCH($A98,'Smelter Look-up'!$E:$E,0)))</f>
        <v>Estanho de Rondonia S.A.</v>
      </c>
      <c r="D98" s="230"/>
      <c r="E98" s="182" t="str">
        <f ca="1">IF(ISERROR($V98),"",OFFSET('Smelter Look-up'!$D$4,$V98-4,0)&amp;"")</f>
        <v>BRAZIL</v>
      </c>
      <c r="F98" s="182" t="str">
        <f ca="1">IF(ISERROR($V98),"",OFFSET('Smelter Look-up'!$E$4,$V98-4,0))</f>
        <v>CID000448</v>
      </c>
      <c r="G98" s="182" t="str">
        <f ca="1">IF(C98=$X$4,IF(ISERROR($V98),"Enter smelter details","RMI"),IF(ISERROR($V98),"",OFFSET('Smelter Look-up'!$F$4,$V98-4,0)))</f>
        <v>RMI</v>
      </c>
      <c r="H98" s="183">
        <f ca="1">IF(ISERROR($V98),"",OFFSET('Smelter Look-up'!$G$4,$V98-4,0))</f>
        <v>0</v>
      </c>
      <c r="I98" s="184" t="str">
        <f ca="1">IF(ISERROR($V98),"",OFFSET('Smelter Look-up'!$H$4,$V98-4,0))</f>
        <v>Ariquemes</v>
      </c>
      <c r="J98" s="184" t="str">
        <f ca="1">IF(ISERROR($V98),"",OFFSET('Smelter Look-up'!$I$4,$V98-4,0))</f>
        <v>Rondônia</v>
      </c>
      <c r="K98" s="224"/>
      <c r="L98" s="224"/>
      <c r="M98" s="224"/>
      <c r="N98" s="224"/>
      <c r="O98" s="224"/>
      <c r="P98" s="185"/>
      <c r="Q98" s="225"/>
      <c r="R98" s="182" t="str">
        <f ca="1">IF(ISERROR($V98),"",OFFSET('Smelter Look-up'!$C$4,$V98-4,0)&amp;"")</f>
        <v>Estanho de Rondonia S.A.</v>
      </c>
      <c r="S98" s="181" t="str">
        <f t="shared" ca="1" si="11"/>
        <v>BR</v>
      </c>
      <c r="T98" s="181" t="str">
        <f ca="1">IF(B98="","",IF(ISERROR(MATCH($J98,SorP!$B$1:$B$6226,0)),"",INDIRECT("'SorP'!$A$"&amp;MATCH($S98&amp;$J98,SorP!C:C,0))))</f>
        <v>BR-RO</v>
      </c>
      <c r="U98" s="201"/>
      <c r="V98" s="226">
        <f ca="1">IF(C98="",NA(),IF(OR(C98="Smelter not listed",C98="Smelter not yet identified"),MATCH($B98&amp;$D98,'Smelter Look-up'!$J:$J,0),MATCH($B98&amp;$C98,'Smelter Look-up'!$J:$J,0)))</f>
        <v>437</v>
      </c>
      <c r="X98" s="227">
        <f t="shared" ca="1" si="12"/>
        <v>0</v>
      </c>
      <c r="AB98" s="228" t="str">
        <f t="shared" ca="1" si="13"/>
        <v>TinEstanho de Rondonia S.A.</v>
      </c>
    </row>
    <row r="99" spans="1:28" s="227" customFormat="1" ht="20.25">
      <c r="A99" s="181" t="s">
        <v>761</v>
      </c>
      <c r="B99" s="182" t="str">
        <f ca="1">IF(LEN(A99)=0,"",INDEX('Smelter Look-up'!$A:$A,MATCH($A99,'Smelter Look-up'!$E:$E,0)))</f>
        <v>Tin</v>
      </c>
      <c r="C99" s="186" t="str">
        <f ca="1">IF(LEN(A99)=0,"",INDEX('Smelter Look-up'!$C:$C,MATCH($A99,'Smelter Look-up'!$E:$E,0)))</f>
        <v>Fenix Metals</v>
      </c>
      <c r="D99" s="230"/>
      <c r="E99" s="182" t="str">
        <f ca="1">IF(ISERROR($V99),"",OFFSET('Smelter Look-up'!$D$4,$V99-4,0)&amp;"")</f>
        <v>POLAND</v>
      </c>
      <c r="F99" s="182" t="str">
        <f ca="1">IF(ISERROR($V99),"",OFFSET('Smelter Look-up'!$E$4,$V99-4,0))</f>
        <v>CID000468</v>
      </c>
      <c r="G99" s="182" t="str">
        <f ca="1">IF(C99=$X$4,IF(ISERROR($V99),"Enter smelter details","RMI"),IF(ISERROR($V99),"",OFFSET('Smelter Look-up'!$F$4,$V99-4,0)))</f>
        <v>RMI</v>
      </c>
      <c r="H99" s="183">
        <f ca="1">IF(ISERROR($V99),"",OFFSET('Smelter Look-up'!$G$4,$V99-4,0))</f>
        <v>0</v>
      </c>
      <c r="I99" s="184" t="str">
        <f ca="1">IF(ISERROR($V99),"",OFFSET('Smelter Look-up'!$H$4,$V99-4,0))</f>
        <v>Chmielów</v>
      </c>
      <c r="J99" s="184" t="str">
        <f ca="1">IF(ISERROR($V99),"",OFFSET('Smelter Look-up'!$I$4,$V99-4,0))</f>
        <v>Podkarpackie</v>
      </c>
      <c r="K99" s="224"/>
      <c r="L99" s="224"/>
      <c r="M99" s="224"/>
      <c r="N99" s="224"/>
      <c r="O99" s="224"/>
      <c r="P99" s="185"/>
      <c r="Q99" s="225"/>
      <c r="R99" s="182" t="str">
        <f ca="1">IF(ISERROR($V99),"",OFFSET('Smelter Look-up'!$C$4,$V99-4,0)&amp;"")</f>
        <v>Fenix Metals</v>
      </c>
      <c r="S99" s="181" t="str">
        <f t="shared" ca="1" si="11"/>
        <v>PL</v>
      </c>
      <c r="T99" s="181" t="str">
        <f ca="1">IF(B99="","",IF(ISERROR(MATCH($J99,SorP!$B$1:$B$6226,0)),"",INDIRECT("'SorP'!$A$"&amp;MATCH($S99&amp;$J99,SorP!C:C,0))))</f>
        <v>PL-18</v>
      </c>
      <c r="U99" s="201"/>
      <c r="V99" s="226">
        <f ca="1">IF(C99="",NA(),IF(OR(C99="Smelter not listed",C99="Smelter not yet identified"),MATCH($B99&amp;$D99,'Smelter Look-up'!$J:$J,0),MATCH($B99&amp;$C99,'Smelter Look-up'!$J:$J,0)))</f>
        <v>442</v>
      </c>
      <c r="X99" s="227">
        <f t="shared" ca="1" si="12"/>
        <v>0</v>
      </c>
      <c r="AB99" s="228" t="str">
        <f t="shared" ca="1" si="13"/>
        <v>TinFenix Metals</v>
      </c>
    </row>
    <row r="100" spans="1:28" s="227" customFormat="1" ht="20.25">
      <c r="A100" s="181" t="s">
        <v>762</v>
      </c>
      <c r="B100" s="182" t="str">
        <f ca="1">IF(LEN(A100)=0,"",INDEX('Smelter Look-up'!$A:$A,MATCH($A100,'Smelter Look-up'!$E:$E,0)))</f>
        <v>Tin</v>
      </c>
      <c r="C100" s="186" t="str">
        <f ca="1">IF(LEN(A100)=0,"",INDEX('Smelter Look-up'!$C:$C,MATCH($A100,'Smelter Look-up'!$E:$E,0)))</f>
        <v>Gejiu Non-Ferrous Metal Processing Co., Ltd.</v>
      </c>
      <c r="D100" s="230"/>
      <c r="E100" s="182" t="str">
        <f ca="1">IF(ISERROR($V100),"",OFFSET('Smelter Look-up'!$D$4,$V100-4,0)&amp;"")</f>
        <v>CHINA</v>
      </c>
      <c r="F100" s="182" t="str">
        <f ca="1">IF(ISERROR($V100),"",OFFSET('Smelter Look-up'!$E$4,$V100-4,0))</f>
        <v>CID000538</v>
      </c>
      <c r="G100" s="182" t="str">
        <f ca="1">IF(C100=$X$4,IF(ISERROR($V100),"Enter smelter details","RMI"),IF(ISERROR($V100),"",OFFSET('Smelter Look-up'!$F$4,$V100-4,0)))</f>
        <v>RMI</v>
      </c>
      <c r="H100" s="183">
        <f ca="1">IF(ISERROR($V100),"",OFFSET('Smelter Look-up'!$G$4,$V100-4,0))</f>
        <v>0</v>
      </c>
      <c r="I100" s="184" t="str">
        <f ca="1">IF(ISERROR($V100),"",OFFSET('Smelter Look-up'!$H$4,$V100-4,0))</f>
        <v>Gejiu</v>
      </c>
      <c r="J100" s="184" t="str">
        <f ca="1">IF(ISERROR($V100),"",OFFSET('Smelter Look-up'!$I$4,$V100-4,0))</f>
        <v>Yunnan Sheng</v>
      </c>
      <c r="K100" s="224"/>
      <c r="L100" s="224"/>
      <c r="M100" s="224"/>
      <c r="N100" s="224"/>
      <c r="O100" s="224"/>
      <c r="P100" s="185"/>
      <c r="Q100" s="225"/>
      <c r="R100" s="182" t="str">
        <f ca="1">IF(ISERROR($V100),"",OFFSET('Smelter Look-up'!$C$4,$V100-4,0)&amp;"")</f>
        <v>Gejiu Non-Ferrous Metal Processing Co., Ltd.</v>
      </c>
      <c r="S100" s="181" t="str">
        <f t="shared" ca="1" si="11"/>
        <v>CN</v>
      </c>
      <c r="T100" s="181" t="str">
        <f ca="1">IF(B100="","",IF(ISERROR(MATCH($J100,SorP!$B$1:$B$6226,0)),"",INDIRECT("'SorP'!$A$"&amp;MATCH($S100&amp;$J100,SorP!C:C,0))))</f>
        <v>CN-YN</v>
      </c>
      <c r="U100" s="201"/>
      <c r="V100" s="226">
        <f ca="1">IF(C100="",NA(),IF(OR(C100="Smelter not listed",C100="Smelter not yet identified"),MATCH($B100&amp;$D100,'Smelter Look-up'!$J:$J,0),MATCH($B100&amp;$C100,'Smelter Look-up'!$J:$J,0)))</f>
        <v>448</v>
      </c>
      <c r="X100" s="227">
        <f t="shared" ca="1" si="12"/>
        <v>0</v>
      </c>
      <c r="AB100" s="228" t="str">
        <f t="shared" ca="1" si="13"/>
        <v>TinGejiu Non-Ferrous Metal Processing Co., Ltd.</v>
      </c>
    </row>
    <row r="101" spans="1:28" s="227" customFormat="1" ht="20.25">
      <c r="A101" s="181" t="s">
        <v>765</v>
      </c>
      <c r="B101" s="182" t="str">
        <f ca="1">IF(LEN(A101)=0,"",INDEX('Smelter Look-up'!$A:$A,MATCH($A101,'Smelter Look-up'!$E:$E,0)))</f>
        <v>Tin</v>
      </c>
      <c r="C101" s="186" t="str">
        <f ca="1">IF(LEN(A101)=0,"",INDEX('Smelter Look-up'!$C:$C,MATCH($A101,'Smelter Look-up'!$E:$E,0)))</f>
        <v>China Tin Group Co., Ltd.</v>
      </c>
      <c r="D101" s="230"/>
      <c r="E101" s="182" t="str">
        <f ca="1">IF(ISERROR($V101),"",OFFSET('Smelter Look-up'!$D$4,$V101-4,0)&amp;"")</f>
        <v>CHINA</v>
      </c>
      <c r="F101" s="182" t="str">
        <f ca="1">IF(ISERROR($V101),"",OFFSET('Smelter Look-up'!$E$4,$V101-4,0))</f>
        <v>CID001070</v>
      </c>
      <c r="G101" s="182" t="str">
        <f ca="1">IF(C101=$X$4,IF(ISERROR($V101),"Enter smelter details","RMI"),IF(ISERROR($V101),"",OFFSET('Smelter Look-up'!$F$4,$V101-4,0)))</f>
        <v>RMI</v>
      </c>
      <c r="H101" s="183">
        <f ca="1">IF(ISERROR($V101),"",OFFSET('Smelter Look-up'!$G$4,$V101-4,0))</f>
        <v>0</v>
      </c>
      <c r="I101" s="184" t="str">
        <f ca="1">IF(ISERROR($V101),"",OFFSET('Smelter Look-up'!$H$4,$V101-4,0))</f>
        <v>Laibin</v>
      </c>
      <c r="J101" s="184" t="str">
        <f ca="1">IF(ISERROR($V101),"",OFFSET('Smelter Look-up'!$I$4,$V101-4,0))</f>
        <v>Guangxi Zhuangzu Zizhiqu</v>
      </c>
      <c r="K101" s="224"/>
      <c r="L101" s="224"/>
      <c r="M101" s="224"/>
      <c r="N101" s="224"/>
      <c r="O101" s="224"/>
      <c r="P101" s="185"/>
      <c r="Q101" s="225"/>
      <c r="R101" s="182" t="str">
        <f ca="1">IF(ISERROR($V101),"",OFFSET('Smelter Look-up'!$C$4,$V101-4,0)&amp;"")</f>
        <v>China Tin Group Co., Ltd.</v>
      </c>
      <c r="S101" s="181" t="str">
        <f t="shared" ca="1" si="11"/>
        <v>CN</v>
      </c>
      <c r="T101" s="181" t="str">
        <f ca="1">IF(B101="","",IF(ISERROR(MATCH($J101,SorP!$B$1:$B$6226,0)),"",INDIRECT("'SorP'!$A$"&amp;MATCH($S101&amp;$J101,SorP!C:C,0))))</f>
        <v>CN-GX</v>
      </c>
      <c r="U101" s="201"/>
      <c r="V101" s="226">
        <f ca="1">IF(C101="",NA(),IF(OR(C101="Smelter not listed",C101="Smelter not yet identified"),MATCH($B101&amp;$D101,'Smelter Look-up'!$J:$J,0),MATCH($B101&amp;$C101,'Smelter Look-up'!$J:$J,0)))</f>
        <v>414</v>
      </c>
      <c r="X101" s="227">
        <f t="shared" ca="1" si="12"/>
        <v>0</v>
      </c>
      <c r="AB101" s="228" t="str">
        <f t="shared" ca="1" si="13"/>
        <v>TinChina Tin Group Co., Ltd.</v>
      </c>
    </row>
    <row r="102" spans="1:28" s="227" customFormat="1" ht="20.25">
      <c r="A102" s="181" t="s">
        <v>766</v>
      </c>
      <c r="B102" s="182" t="str">
        <f ca="1">IF(LEN(A102)=0,"",INDEX('Smelter Look-up'!$A:$A,MATCH($A102,'Smelter Look-up'!$E:$E,0)))</f>
        <v>Tin</v>
      </c>
      <c r="C102" s="186" t="str">
        <f ca="1">IF(LEN(A102)=0,"",INDEX('Smelter Look-up'!$C:$C,MATCH($A102,'Smelter Look-up'!$E:$E,0)))</f>
        <v>Malaysia Smelting Corporation (MSC)</v>
      </c>
      <c r="D102" s="230"/>
      <c r="E102" s="182" t="str">
        <f ca="1">IF(ISERROR($V102),"",OFFSET('Smelter Look-up'!$D$4,$V102-4,0)&amp;"")</f>
        <v>MALAYSIA</v>
      </c>
      <c r="F102" s="182" t="str">
        <f ca="1">IF(ISERROR($V102),"",OFFSET('Smelter Look-up'!$E$4,$V102-4,0))</f>
        <v>CID001105</v>
      </c>
      <c r="G102" s="182" t="str">
        <f ca="1">IF(C102=$X$4,IF(ISERROR($V102),"Enter smelter details","RMI"),IF(ISERROR($V102),"",OFFSET('Smelter Look-up'!$F$4,$V102-4,0)))</f>
        <v>RMI</v>
      </c>
      <c r="H102" s="183">
        <f ca="1">IF(ISERROR($V102),"",OFFSET('Smelter Look-up'!$G$4,$V102-4,0))</f>
        <v>0</v>
      </c>
      <c r="I102" s="184" t="str">
        <f ca="1">IF(ISERROR($V102),"",OFFSET('Smelter Look-up'!$H$4,$V102-4,0))</f>
        <v>Butterworth</v>
      </c>
      <c r="J102" s="184" t="str">
        <f ca="1">IF(ISERROR($V102),"",OFFSET('Smelter Look-up'!$I$4,$V102-4,0))</f>
        <v>Pulau Pinang</v>
      </c>
      <c r="K102" s="224"/>
      <c r="L102" s="224"/>
      <c r="M102" s="224"/>
      <c r="N102" s="224"/>
      <c r="O102" s="224"/>
      <c r="P102" s="185"/>
      <c r="Q102" s="225"/>
      <c r="R102" s="182" t="str">
        <f ca="1">IF(ISERROR($V102),"",OFFSET('Smelter Look-up'!$C$4,$V102-4,0)&amp;"")</f>
        <v>Malaysia Smelting Corporation (MSC)</v>
      </c>
      <c r="S102" s="181" t="str">
        <f t="shared" ref="S102:S132" ca="1" si="14">IF(B102="","",IF(ISERROR(MATCH($E102,CL,0)),"Unknown",INDIRECT("'C'!$A$"&amp;MATCH($E102,CL,0)+1)))</f>
        <v>MY</v>
      </c>
      <c r="T102" s="181" t="str">
        <f ca="1">IF(B102="","",IF(ISERROR(MATCH($J102,SorP!$B$1:$B$6226,0)),"",INDIRECT("'SorP'!$A$"&amp;MATCH($S102&amp;$J102,SorP!C:C,0))))</f>
        <v>MY-07</v>
      </c>
      <c r="U102" s="201"/>
      <c r="V102" s="226">
        <f ca="1">IF(C102="",NA(),IF(OR(C102="Smelter not listed",C102="Smelter not yet identified"),MATCH($B102&amp;$D102,'Smelter Look-up'!$J:$J,0),MATCH($B102&amp;$C102,'Smelter Look-up'!$J:$J,0)))</f>
        <v>474</v>
      </c>
      <c r="X102" s="227">
        <f t="shared" ref="X102:X132" ca="1" si="15">IF(AND(C102="Smelter not listed",OR(LEN(D102)=0,LEN(E102)=0)),1,0)</f>
        <v>0</v>
      </c>
      <c r="AB102" s="228" t="str">
        <f t="shared" ref="AB102:AB132" ca="1" si="16">B102&amp;C102</f>
        <v>TinMalaysia Smelting Corporation (MSC)</v>
      </c>
    </row>
    <row r="103" spans="1:28" s="227" customFormat="1" ht="20.25">
      <c r="A103" s="181" t="s">
        <v>1767</v>
      </c>
      <c r="B103" s="182" t="str">
        <f ca="1">IF(LEN(A103)=0,"",INDEX('Smelter Look-up'!$A:$A,MATCH($A103,'Smelter Look-up'!$E:$E,0)))</f>
        <v>Tin</v>
      </c>
      <c r="C103" s="186" t="str">
        <f ca="1">IF(LEN(A103)=0,"",INDEX('Smelter Look-up'!$C:$C,MATCH($A103,'Smelter Look-up'!$E:$E,0)))</f>
        <v>Metallic Resources, Inc.</v>
      </c>
      <c r="D103" s="230"/>
      <c r="E103" s="182" t="str">
        <f ca="1">IF(ISERROR($V103),"",OFFSET('Smelter Look-up'!$D$4,$V103-4,0)&amp;"")</f>
        <v>UNITED STATES OF AMERICA</v>
      </c>
      <c r="F103" s="182" t="str">
        <f ca="1">IF(ISERROR($V103),"",OFFSET('Smelter Look-up'!$E$4,$V103-4,0))</f>
        <v>CID001142</v>
      </c>
      <c r="G103" s="182" t="str">
        <f ca="1">IF(C103=$X$4,IF(ISERROR($V103),"Enter smelter details","RMI"),IF(ISERROR($V103),"",OFFSET('Smelter Look-up'!$F$4,$V103-4,0)))</f>
        <v>RMI</v>
      </c>
      <c r="H103" s="183">
        <f ca="1">IF(ISERROR($V103),"",OFFSET('Smelter Look-up'!$G$4,$V103-4,0))</f>
        <v>0</v>
      </c>
      <c r="I103" s="184" t="str">
        <f ca="1">IF(ISERROR($V103),"",OFFSET('Smelter Look-up'!$H$4,$V103-4,0))</f>
        <v>Twinsburg</v>
      </c>
      <c r="J103" s="184" t="str">
        <f ca="1">IF(ISERROR($V103),"",OFFSET('Smelter Look-up'!$I$4,$V103-4,0))</f>
        <v>Ohio</v>
      </c>
      <c r="K103" s="224"/>
      <c r="L103" s="224"/>
      <c r="M103" s="224"/>
      <c r="N103" s="224"/>
      <c r="O103" s="224"/>
      <c r="P103" s="185"/>
      <c r="Q103" s="225"/>
      <c r="R103" s="182" t="str">
        <f ca="1">IF(ISERROR($V103),"",OFFSET('Smelter Look-up'!$C$4,$V103-4,0)&amp;"")</f>
        <v>Metallic Resources, Inc.</v>
      </c>
      <c r="S103" s="181" t="str">
        <f t="shared" ca="1" si="14"/>
        <v>US</v>
      </c>
      <c r="T103" s="181" t="str">
        <f ca="1">IF(B103="","",IF(ISERROR(MATCH($J103,SorP!$B$1:$B$6226,0)),"",INDIRECT("'SorP'!$A$"&amp;MATCH($S103&amp;$J103,SorP!C:C,0))))</f>
        <v>US-OH</v>
      </c>
      <c r="U103" s="201"/>
      <c r="V103" s="226">
        <f ca="1">IF(C103="",NA(),IF(OR(C103="Smelter not listed",C103="Smelter not yet identified"),MATCH($B103&amp;$D103,'Smelter Look-up'!$J:$J,0),MATCH($B103&amp;$C103,'Smelter Look-up'!$J:$J,0)))</f>
        <v>479</v>
      </c>
      <c r="X103" s="227">
        <f t="shared" ca="1" si="15"/>
        <v>0</v>
      </c>
      <c r="AB103" s="228" t="str">
        <f t="shared" ca="1" si="16"/>
        <v>TinMetallic Resources, Inc.</v>
      </c>
    </row>
    <row r="104" spans="1:28" s="227" customFormat="1" ht="20.25">
      <c r="A104" s="181" t="s">
        <v>767</v>
      </c>
      <c r="B104" s="182" t="str">
        <f ca="1">IF(LEN(A104)=0,"",INDEX('Smelter Look-up'!$A:$A,MATCH($A104,'Smelter Look-up'!$E:$E,0)))</f>
        <v>Tin</v>
      </c>
      <c r="C104" s="186" t="str">
        <f ca="1">IF(LEN(A104)=0,"",INDEX('Smelter Look-up'!$C:$C,MATCH($A104,'Smelter Look-up'!$E:$E,0)))</f>
        <v>Mineracao Taboca S.A.</v>
      </c>
      <c r="D104" s="230"/>
      <c r="E104" s="182" t="str">
        <f ca="1">IF(ISERROR($V104),"",OFFSET('Smelter Look-up'!$D$4,$V104-4,0)&amp;"")</f>
        <v>BRAZIL</v>
      </c>
      <c r="F104" s="182" t="str">
        <f ca="1">IF(ISERROR($V104),"",OFFSET('Smelter Look-up'!$E$4,$V104-4,0))</f>
        <v>CID001173</v>
      </c>
      <c r="G104" s="182" t="str">
        <f ca="1">IF(C104=$X$4,IF(ISERROR($V104),"Enter smelter details","RMI"),IF(ISERROR($V104),"",OFFSET('Smelter Look-up'!$F$4,$V104-4,0)))</f>
        <v>RMI</v>
      </c>
      <c r="H104" s="183">
        <f ca="1">IF(ISERROR($V104),"",OFFSET('Smelter Look-up'!$G$4,$V104-4,0))</f>
        <v>0</v>
      </c>
      <c r="I104" s="184" t="str">
        <f ca="1">IF(ISERROR($V104),"",OFFSET('Smelter Look-up'!$H$4,$V104-4,0))</f>
        <v>Bairro Guarapiranga</v>
      </c>
      <c r="J104" s="184" t="str">
        <f ca="1">IF(ISERROR($V104),"",OFFSET('Smelter Look-up'!$I$4,$V104-4,0))</f>
        <v>São Paulo</v>
      </c>
      <c r="K104" s="224"/>
      <c r="L104" s="224"/>
      <c r="M104" s="224"/>
      <c r="N104" s="224"/>
      <c r="O104" s="224"/>
      <c r="P104" s="185"/>
      <c r="Q104" s="225"/>
      <c r="R104" s="182" t="str">
        <f ca="1">IF(ISERROR($V104),"",OFFSET('Smelter Look-up'!$C$4,$V104-4,0)&amp;"")</f>
        <v>Mineracao Taboca S.A.</v>
      </c>
      <c r="S104" s="181" t="str">
        <f t="shared" ca="1" si="14"/>
        <v>BR</v>
      </c>
      <c r="T104" s="181" t="str">
        <f ca="1">IF(B104="","",IF(ISERROR(MATCH($J104,SorP!$B$1:$B$6226,0)),"",INDIRECT("'SorP'!$A$"&amp;MATCH($S104&amp;$J104,SorP!C:C,0))))</f>
        <v>BR-SP</v>
      </c>
      <c r="U104" s="201"/>
      <c r="V104" s="226">
        <f ca="1">IF(C104="",NA(),IF(OR(C104="Smelter not listed",C104="Smelter not yet identified"),MATCH($B104&amp;$D104,'Smelter Look-up'!$J:$J,0),MATCH($B104&amp;$C104,'Smelter Look-up'!$J:$J,0)))</f>
        <v>482</v>
      </c>
      <c r="X104" s="227">
        <f t="shared" ca="1" si="15"/>
        <v>0</v>
      </c>
      <c r="AB104" s="228" t="str">
        <f t="shared" ca="1" si="16"/>
        <v>TinMineracao Taboca S.A.</v>
      </c>
    </row>
    <row r="105" spans="1:28" s="227" customFormat="1" ht="20.25">
      <c r="A105" s="181" t="s">
        <v>768</v>
      </c>
      <c r="B105" s="182" t="str">
        <f ca="1">IF(LEN(A105)=0,"",INDEX('Smelter Look-up'!$A:$A,MATCH($A105,'Smelter Look-up'!$E:$E,0)))</f>
        <v>Tin</v>
      </c>
      <c r="C105" s="186" t="str">
        <f ca="1">IF(LEN(A105)=0,"",INDEX('Smelter Look-up'!$C:$C,MATCH($A105,'Smelter Look-up'!$E:$E,0)))</f>
        <v>Minsur</v>
      </c>
      <c r="D105" s="230"/>
      <c r="E105" s="182" t="str">
        <f ca="1">IF(ISERROR($V105),"",OFFSET('Smelter Look-up'!$D$4,$V105-4,0)&amp;"")</f>
        <v>PERU</v>
      </c>
      <c r="F105" s="182" t="str">
        <f ca="1">IF(ISERROR($V105),"",OFFSET('Smelter Look-up'!$E$4,$V105-4,0))</f>
        <v>CID001182</v>
      </c>
      <c r="G105" s="182" t="str">
        <f ca="1">IF(C105=$X$4,IF(ISERROR($V105),"Enter smelter details","RMI"),IF(ISERROR($V105),"",OFFSET('Smelter Look-up'!$F$4,$V105-4,0)))</f>
        <v>RMI</v>
      </c>
      <c r="H105" s="183">
        <f ca="1">IF(ISERROR($V105),"",OFFSET('Smelter Look-up'!$G$4,$V105-4,0))</f>
        <v>0</v>
      </c>
      <c r="I105" s="184" t="str">
        <f ca="1">IF(ISERROR($V105),"",OFFSET('Smelter Look-up'!$H$4,$V105-4,0))</f>
        <v>Paracas</v>
      </c>
      <c r="J105" s="184" t="str">
        <f ca="1">IF(ISERROR($V105),"",OFFSET('Smelter Look-up'!$I$4,$V105-4,0))</f>
        <v>Ika</v>
      </c>
      <c r="K105" s="224"/>
      <c r="L105" s="224"/>
      <c r="M105" s="224"/>
      <c r="N105" s="224"/>
      <c r="O105" s="224"/>
      <c r="P105" s="185"/>
      <c r="Q105" s="225"/>
      <c r="R105" s="182" t="str">
        <f ca="1">IF(ISERROR($V105),"",OFFSET('Smelter Look-up'!$C$4,$V105-4,0)&amp;"")</f>
        <v>Minsur</v>
      </c>
      <c r="S105" s="181" t="str">
        <f t="shared" ca="1" si="14"/>
        <v>PE</v>
      </c>
      <c r="T105" s="181" t="str">
        <f ca="1">IF(B105="","",IF(ISERROR(MATCH($J105,SorP!$B$1:$B$6226,0)),"",INDIRECT("'SorP'!$A$"&amp;MATCH($S105&amp;$J105,SorP!C:C,0))))</f>
        <v>PE-ICA</v>
      </c>
      <c r="U105" s="201"/>
      <c r="V105" s="226">
        <f ca="1">IF(C105="",NA(),IF(OR(C105="Smelter not listed",C105="Smelter not yet identified"),MATCH($B105&amp;$D105,'Smelter Look-up'!$J:$J,0),MATCH($B105&amp;$C105,'Smelter Look-up'!$J:$J,0)))</f>
        <v>487</v>
      </c>
      <c r="X105" s="227">
        <f t="shared" ca="1" si="15"/>
        <v>0</v>
      </c>
      <c r="AB105" s="228" t="str">
        <f t="shared" ca="1" si="16"/>
        <v>TinMinsur</v>
      </c>
    </row>
    <row r="106" spans="1:28" s="227" customFormat="1" ht="20.25">
      <c r="A106" s="181" t="s">
        <v>769</v>
      </c>
      <c r="B106" s="182" t="str">
        <f ca="1">IF(LEN(A106)=0,"",INDEX('Smelter Look-up'!$A:$A,MATCH($A106,'Smelter Look-up'!$E:$E,0)))</f>
        <v>Tin</v>
      </c>
      <c r="C106" s="186" t="str">
        <f ca="1">IF(LEN(A106)=0,"",INDEX('Smelter Look-up'!$C:$C,MATCH($A106,'Smelter Look-up'!$E:$E,0)))</f>
        <v>Mitsubishi Materials Corporation</v>
      </c>
      <c r="D106" s="230"/>
      <c r="E106" s="182" t="str">
        <f ca="1">IF(ISERROR($V106),"",OFFSET('Smelter Look-up'!$D$4,$V106-4,0)&amp;"")</f>
        <v>JAPAN</v>
      </c>
      <c r="F106" s="182" t="str">
        <f ca="1">IF(ISERROR($V106),"",OFFSET('Smelter Look-up'!$E$4,$V106-4,0))</f>
        <v>CID001191</v>
      </c>
      <c r="G106" s="182" t="str">
        <f ca="1">IF(C106=$X$4,IF(ISERROR($V106),"Enter smelter details","RMI"),IF(ISERROR($V106),"",OFFSET('Smelter Look-up'!$F$4,$V106-4,0)))</f>
        <v>RMI</v>
      </c>
      <c r="H106" s="183">
        <f ca="1">IF(ISERROR($V106),"",OFFSET('Smelter Look-up'!$G$4,$V106-4,0))</f>
        <v>0</v>
      </c>
      <c r="I106" s="184" t="str">
        <f ca="1">IF(ISERROR($V106),"",OFFSET('Smelter Look-up'!$H$4,$V106-4,0))</f>
        <v>Asago</v>
      </c>
      <c r="J106" s="184" t="str">
        <f ca="1">IF(ISERROR($V106),"",OFFSET('Smelter Look-up'!$I$4,$V106-4,0))</f>
        <v>Hyogo</v>
      </c>
      <c r="K106" s="224"/>
      <c r="L106" s="224"/>
      <c r="M106" s="224"/>
      <c r="N106" s="224"/>
      <c r="O106" s="224"/>
      <c r="P106" s="185"/>
      <c r="Q106" s="225"/>
      <c r="R106" s="182" t="str">
        <f ca="1">IF(ISERROR($V106),"",OFFSET('Smelter Look-up'!$C$4,$V106-4,0)&amp;"")</f>
        <v>Mitsubishi Materials Corporation</v>
      </c>
      <c r="S106" s="181" t="str">
        <f t="shared" ca="1" si="14"/>
        <v>JP</v>
      </c>
      <c r="T106" s="181" t="str">
        <f ca="1">IF(B106="","",IF(ISERROR(MATCH($J106,SorP!$B$1:$B$6226,0)),"",INDIRECT("'SorP'!$A$"&amp;MATCH($S106&amp;$J106,SorP!C:C,0))))</f>
        <v>JP-28</v>
      </c>
      <c r="U106" s="201"/>
      <c r="V106" s="226">
        <f ca="1">IF(C106="",NA(),IF(OR(C106="Smelter not listed",C106="Smelter not yet identified"),MATCH($B106&amp;$D106,'Smelter Look-up'!$J:$J,0),MATCH($B106&amp;$C106,'Smelter Look-up'!$J:$J,0)))</f>
        <v>488</v>
      </c>
      <c r="X106" s="227">
        <f t="shared" ca="1" si="15"/>
        <v>0</v>
      </c>
      <c r="AB106" s="228" t="str">
        <f t="shared" ca="1" si="16"/>
        <v>TinMitsubishi Materials Corporation</v>
      </c>
    </row>
    <row r="107" spans="1:28" s="227" customFormat="1" ht="20.25">
      <c r="A107" s="181" t="s">
        <v>1774</v>
      </c>
      <c r="B107" s="182" t="str">
        <f ca="1">IF(LEN(A107)=0,"",INDEX('Smelter Look-up'!$A:$A,MATCH($A107,'Smelter Look-up'!$E:$E,0)))</f>
        <v>Tin</v>
      </c>
      <c r="C107" s="186" t="str">
        <f ca="1">IF(LEN(A107)=0,"",INDEX('Smelter Look-up'!$C:$C,MATCH($A107,'Smelter Look-up'!$E:$E,0)))</f>
        <v>Jiangxi New Nanshan Technology Ltd.</v>
      </c>
      <c r="D107" s="230"/>
      <c r="E107" s="182" t="str">
        <f ca="1">IF(ISERROR($V107),"",OFFSET('Smelter Look-up'!$D$4,$V107-4,0)&amp;"")</f>
        <v>CHINA</v>
      </c>
      <c r="F107" s="182" t="str">
        <f ca="1">IF(ISERROR($V107),"",OFFSET('Smelter Look-up'!$E$4,$V107-4,0))</f>
        <v>CID001231</v>
      </c>
      <c r="G107" s="182" t="str">
        <f ca="1">IF(C107=$X$4,IF(ISERROR($V107),"Enter smelter details","RMI"),IF(ISERROR($V107),"",OFFSET('Smelter Look-up'!$F$4,$V107-4,0)))</f>
        <v>RMI</v>
      </c>
      <c r="H107" s="183">
        <f ca="1">IF(ISERROR($V107),"",OFFSET('Smelter Look-up'!$G$4,$V107-4,0))</f>
        <v>0</v>
      </c>
      <c r="I107" s="184" t="str">
        <f ca="1">IF(ISERROR($V107),"",OFFSET('Smelter Look-up'!$H$4,$V107-4,0))</f>
        <v>Ganzhou</v>
      </c>
      <c r="J107" s="184" t="str">
        <f ca="1">IF(ISERROR($V107),"",OFFSET('Smelter Look-up'!$I$4,$V107-4,0))</f>
        <v>Jiangxi Sheng</v>
      </c>
      <c r="K107" s="224"/>
      <c r="L107" s="224"/>
      <c r="M107" s="224"/>
      <c r="N107" s="224"/>
      <c r="O107" s="224"/>
      <c r="P107" s="185"/>
      <c r="Q107" s="225"/>
      <c r="R107" s="182" t="str">
        <f ca="1">IF(ISERROR($V107),"",OFFSET('Smelter Look-up'!$C$4,$V107-4,0)&amp;"")</f>
        <v>Jiangxi New Nanshan Technology Ltd.</v>
      </c>
      <c r="S107" s="181" t="str">
        <f t="shared" ca="1" si="14"/>
        <v>CN</v>
      </c>
      <c r="T107" s="181" t="str">
        <f ca="1">IF(B107="","",IF(ISERROR(MATCH($J107,SorP!$B$1:$B$6226,0)),"",INDIRECT("'SorP'!$A$"&amp;MATCH($S107&amp;$J107,SorP!C:C,0))))</f>
        <v>CN-JX</v>
      </c>
      <c r="U107" s="201"/>
      <c r="V107" s="226">
        <f ca="1">IF(C107="",NA(),IF(OR(C107="Smelter not listed",C107="Smelter not yet identified"),MATCH($B107&amp;$D107,'Smelter Look-up'!$J:$J,0),MATCH($B107&amp;$C107,'Smelter Look-up'!$J:$J,0)))</f>
        <v>464</v>
      </c>
      <c r="X107" s="227">
        <f t="shared" ca="1" si="15"/>
        <v>0</v>
      </c>
      <c r="AB107" s="228" t="str">
        <f t="shared" ca="1" si="16"/>
        <v>TinJiangxi New Nanshan Technology Ltd.</v>
      </c>
    </row>
    <row r="108" spans="1:28" s="227" customFormat="1" ht="20.25">
      <c r="A108" s="181" t="s">
        <v>771</v>
      </c>
      <c r="B108" s="182" t="str">
        <f ca="1">IF(LEN(A108)=0,"",INDEX('Smelter Look-up'!$A:$A,MATCH($A108,'Smelter Look-up'!$E:$E,0)))</f>
        <v>Tin</v>
      </c>
      <c r="C108" s="186" t="str">
        <f ca="1">IF(LEN(A108)=0,"",INDEX('Smelter Look-up'!$C:$C,MATCH($A108,'Smelter Look-up'!$E:$E,0)))</f>
        <v>O.M. Manufacturing (Thailand) Co., Ltd.</v>
      </c>
      <c r="D108" s="230"/>
      <c r="E108" s="182" t="str">
        <f ca="1">IF(ISERROR($V108),"",OFFSET('Smelter Look-up'!$D$4,$V108-4,0)&amp;"")</f>
        <v>THAILAND</v>
      </c>
      <c r="F108" s="182" t="str">
        <f ca="1">IF(ISERROR($V108),"",OFFSET('Smelter Look-up'!$E$4,$V108-4,0))</f>
        <v>CID001314</v>
      </c>
      <c r="G108" s="182" t="str">
        <f ca="1">IF(C108=$X$4,IF(ISERROR($V108),"Enter smelter details","RMI"),IF(ISERROR($V108),"",OFFSET('Smelter Look-up'!$F$4,$V108-4,0)))</f>
        <v>RMI</v>
      </c>
      <c r="H108" s="183">
        <f ca="1">IF(ISERROR($V108),"",OFFSET('Smelter Look-up'!$G$4,$V108-4,0))</f>
        <v>0</v>
      </c>
      <c r="I108" s="184" t="str">
        <f ca="1">IF(ISERROR($V108),"",OFFSET('Smelter Look-up'!$H$4,$V108-4,0))</f>
        <v>Nongkham Sriracha</v>
      </c>
      <c r="J108" s="184" t="str">
        <f ca="1">IF(ISERROR($V108),"",OFFSET('Smelter Look-up'!$I$4,$V108-4,0))</f>
        <v>Chon Buri</v>
      </c>
      <c r="K108" s="224"/>
      <c r="L108" s="224"/>
      <c r="M108" s="224"/>
      <c r="N108" s="224"/>
      <c r="O108" s="224"/>
      <c r="P108" s="185"/>
      <c r="Q108" s="225"/>
      <c r="R108" s="182" t="str">
        <f ca="1">IF(ISERROR($V108),"",OFFSET('Smelter Look-up'!$C$4,$V108-4,0)&amp;"")</f>
        <v>O.M. Manufacturing (Thailand) Co., Ltd.</v>
      </c>
      <c r="S108" s="181" t="str">
        <f t="shared" ca="1" si="14"/>
        <v>TH</v>
      </c>
      <c r="T108" s="181" t="str">
        <f ca="1">IF(B108="","",IF(ISERROR(MATCH($J108,SorP!$B$1:$B$6226,0)),"",INDIRECT("'SorP'!$A$"&amp;MATCH($S108&amp;$J108,SorP!C:C,0))))</f>
        <v>TH-20</v>
      </c>
      <c r="U108" s="201"/>
      <c r="V108" s="226">
        <f ca="1">IF(C108="",NA(),IF(OR(C108="Smelter not listed",C108="Smelter not yet identified"),MATCH($B108&amp;$D108,'Smelter Look-up'!$J:$J,0),MATCH($B108&amp;$C108,'Smelter Look-up'!$J:$J,0)))</f>
        <v>496</v>
      </c>
      <c r="X108" s="227">
        <f t="shared" ca="1" si="15"/>
        <v>0</v>
      </c>
      <c r="AB108" s="228" t="str">
        <f t="shared" ca="1" si="16"/>
        <v>TinO.M. Manufacturing (Thailand) Co., Ltd.</v>
      </c>
    </row>
    <row r="109" spans="1:28" s="227" customFormat="1" ht="20.25">
      <c r="A109" s="181" t="s">
        <v>772</v>
      </c>
      <c r="B109" s="182" t="str">
        <f ca="1">IF(LEN(A109)=0,"",INDEX('Smelter Look-up'!$A:$A,MATCH($A109,'Smelter Look-up'!$E:$E,0)))</f>
        <v>Tin</v>
      </c>
      <c r="C109" s="186" t="str">
        <f ca="1">IF(LEN(A109)=0,"",INDEX('Smelter Look-up'!$C:$C,MATCH($A109,'Smelter Look-up'!$E:$E,0)))</f>
        <v>Operaciones Metalurgicas S.A.</v>
      </c>
      <c r="D109" s="230"/>
      <c r="E109" s="182" t="str">
        <f ca="1">IF(ISERROR($V109),"",OFFSET('Smelter Look-up'!$D$4,$V109-4,0)&amp;"")</f>
        <v>BOLIVIA (PLURINATIONAL STATE OF)</v>
      </c>
      <c r="F109" s="182" t="str">
        <f ca="1">IF(ISERROR($V109),"",OFFSET('Smelter Look-up'!$E$4,$V109-4,0))</f>
        <v>CID001337</v>
      </c>
      <c r="G109" s="182" t="str">
        <f ca="1">IF(C109=$X$4,IF(ISERROR($V109),"Enter smelter details","RMI"),IF(ISERROR($V109),"",OFFSET('Smelter Look-up'!$F$4,$V109-4,0)))</f>
        <v>RMI</v>
      </c>
      <c r="H109" s="183">
        <f ca="1">IF(ISERROR($V109),"",OFFSET('Smelter Look-up'!$G$4,$V109-4,0))</f>
        <v>0</v>
      </c>
      <c r="I109" s="184" t="str">
        <f ca="1">IF(ISERROR($V109),"",OFFSET('Smelter Look-up'!$H$4,$V109-4,0))</f>
        <v>Oruro</v>
      </c>
      <c r="J109" s="184" t="str">
        <f ca="1">IF(ISERROR($V109),"",OFFSET('Smelter Look-up'!$I$4,$V109-4,0))</f>
        <v>Oruro</v>
      </c>
      <c r="K109" s="224"/>
      <c r="L109" s="224"/>
      <c r="M109" s="224"/>
      <c r="N109" s="224"/>
      <c r="O109" s="224"/>
      <c r="P109" s="185"/>
      <c r="Q109" s="225"/>
      <c r="R109" s="182" t="str">
        <f ca="1">IF(ISERROR($V109),"",OFFSET('Smelter Look-up'!$C$4,$V109-4,0)&amp;"")</f>
        <v>Operaciones Metalurgicas S.A.</v>
      </c>
      <c r="S109" s="181" t="str">
        <f t="shared" ca="1" si="14"/>
        <v>BO</v>
      </c>
      <c r="T109" s="181" t="str">
        <f ca="1">IF(B109="","",IF(ISERROR(MATCH($J109,SorP!$B$1:$B$6226,0)),"",INDIRECT("'SorP'!$A$"&amp;MATCH($S109&amp;$J109,SorP!C:C,0))))</f>
        <v>BO-O</v>
      </c>
      <c r="U109" s="201"/>
      <c r="V109" s="226">
        <f ca="1">IF(C109="",NA(),IF(OR(C109="Smelter not listed",C109="Smelter not yet identified"),MATCH($B109&amp;$D109,'Smelter Look-up'!$J:$J,0),MATCH($B109&amp;$C109,'Smelter Look-up'!$J:$J,0)))</f>
        <v>499</v>
      </c>
      <c r="X109" s="227">
        <f t="shared" ca="1" si="15"/>
        <v>0</v>
      </c>
      <c r="AB109" s="228" t="str">
        <f t="shared" ca="1" si="16"/>
        <v>TinOperaciones Metalurgicas S.A.</v>
      </c>
    </row>
    <row r="110" spans="1:28" s="227" customFormat="1" ht="20.25">
      <c r="A110" s="181" t="s">
        <v>773</v>
      </c>
      <c r="B110" s="182" t="str">
        <f ca="1">IF(LEN(A110)=0,"",INDEX('Smelter Look-up'!$A:$A,MATCH($A110,'Smelter Look-up'!$E:$E,0)))</f>
        <v>Tin</v>
      </c>
      <c r="C110" s="186" t="str">
        <f ca="1">IF(LEN(A110)=0,"",INDEX('Smelter Look-up'!$C:$C,MATCH($A110,'Smelter Look-up'!$E:$E,0)))</f>
        <v>PT Artha Cipta Langgeng</v>
      </c>
      <c r="D110" s="230"/>
      <c r="E110" s="182" t="str">
        <f ca="1">IF(ISERROR($V110),"",OFFSET('Smelter Look-up'!$D$4,$V110-4,0)&amp;"")</f>
        <v>INDONESIA</v>
      </c>
      <c r="F110" s="182" t="str">
        <f ca="1">IF(ISERROR($V110),"",OFFSET('Smelter Look-up'!$E$4,$V110-4,0))</f>
        <v>CID001399</v>
      </c>
      <c r="G110" s="182" t="str">
        <f ca="1">IF(C110=$X$4,IF(ISERROR($V110),"Enter smelter details","RMI"),IF(ISERROR($V110),"",OFFSET('Smelter Look-up'!$F$4,$V110-4,0)))</f>
        <v>RMI</v>
      </c>
      <c r="H110" s="183">
        <f ca="1">IF(ISERROR($V110),"",OFFSET('Smelter Look-up'!$G$4,$V110-4,0))</f>
        <v>0</v>
      </c>
      <c r="I110" s="184" t="str">
        <f ca="1">IF(ISERROR($V110),"",OFFSET('Smelter Look-up'!$H$4,$V110-4,0))</f>
        <v>Sungailiat</v>
      </c>
      <c r="J110" s="184" t="str">
        <f ca="1">IF(ISERROR($V110),"",OFFSET('Smelter Look-up'!$I$4,$V110-4,0))</f>
        <v>Kepulauan Bangka Belitung</v>
      </c>
      <c r="K110" s="224"/>
      <c r="L110" s="224"/>
      <c r="M110" s="224"/>
      <c r="N110" s="224"/>
      <c r="O110" s="224"/>
      <c r="P110" s="185"/>
      <c r="Q110" s="225"/>
      <c r="R110" s="182" t="str">
        <f ca="1">IF(ISERROR($V110),"",OFFSET('Smelter Look-up'!$C$4,$V110-4,0)&amp;"")</f>
        <v>PT Artha Cipta Langgeng</v>
      </c>
      <c r="S110" s="181" t="str">
        <f t="shared" ca="1" si="14"/>
        <v>ID</v>
      </c>
      <c r="T110" s="181" t="str">
        <f ca="1">IF(B110="","",IF(ISERROR(MATCH($J110,SorP!$B$1:$B$6226,0)),"",INDIRECT("'SorP'!$A$"&amp;MATCH($S110&amp;$J110,SorP!C:C,0))))</f>
        <v>ID-BB</v>
      </c>
      <c r="U110" s="201"/>
      <c r="V110" s="226">
        <f ca="1">IF(C110="",NA(),IF(OR(C110="Smelter not listed",C110="Smelter not yet identified"),MATCH($B110&amp;$D110,'Smelter Look-up'!$J:$J,0),MATCH($B110&amp;$C110,'Smelter Look-up'!$J:$J,0)))</f>
        <v>504</v>
      </c>
      <c r="X110" s="227">
        <f t="shared" ca="1" si="15"/>
        <v>0</v>
      </c>
      <c r="AB110" s="228" t="str">
        <f t="shared" ca="1" si="16"/>
        <v>TinPT Artha Cipta Langgeng</v>
      </c>
    </row>
    <row r="111" spans="1:28" s="227" customFormat="1" ht="20.25">
      <c r="A111" s="181" t="s">
        <v>15443</v>
      </c>
      <c r="B111" s="182" t="str">
        <f ca="1">IF(LEN(A111)=0,"",INDEX('Smelter Look-up'!$A:$A,MATCH($A111,'Smelter Look-up'!$E:$E,0)))</f>
        <v>Tin</v>
      </c>
      <c r="C111" s="186" t="str">
        <f ca="1">IF(LEN(A111)=0,"",INDEX('Smelter Look-up'!$C:$C,MATCH($A111,'Smelter Look-up'!$E:$E,0)))</f>
        <v>PT Babel Inti Perkasa</v>
      </c>
      <c r="D111" s="230"/>
      <c r="E111" s="182" t="str">
        <f ca="1">IF(ISERROR($V111),"",OFFSET('Smelter Look-up'!$D$4,$V111-4,0)&amp;"")</f>
        <v>INDONESIA</v>
      </c>
      <c r="F111" s="182" t="str">
        <f ca="1">IF(ISERROR($V111),"",OFFSET('Smelter Look-up'!$E$4,$V111-4,0))</f>
        <v>CID001402</v>
      </c>
      <c r="G111" s="182" t="str">
        <f ca="1">IF(C111=$X$4,IF(ISERROR($V111),"Enter smelter details","RMI"),IF(ISERROR($V111),"",OFFSET('Smelter Look-up'!$F$4,$V111-4,0)))</f>
        <v>RMI</v>
      </c>
      <c r="H111" s="183">
        <f ca="1">IF(ISERROR($V111),"",OFFSET('Smelter Look-up'!$G$4,$V111-4,0))</f>
        <v>0</v>
      </c>
      <c r="I111" s="184" t="str">
        <f ca="1">IF(ISERROR($V111),"",OFFSET('Smelter Look-up'!$H$4,$V111-4,0))</f>
        <v>Lintang</v>
      </c>
      <c r="J111" s="184" t="str">
        <f ca="1">IF(ISERROR($V111),"",OFFSET('Smelter Look-up'!$I$4,$V111-4,0))</f>
        <v>Kepulauan Bangka Belitung</v>
      </c>
      <c r="K111" s="224"/>
      <c r="L111" s="224"/>
      <c r="M111" s="224"/>
      <c r="N111" s="224"/>
      <c r="O111" s="224"/>
      <c r="P111" s="185"/>
      <c r="Q111" s="225"/>
      <c r="R111" s="182" t="str">
        <f ca="1">IF(ISERROR($V111),"",OFFSET('Smelter Look-up'!$C$4,$V111-4,0)&amp;"")</f>
        <v>PT Babel Inti Perkasa</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506</v>
      </c>
      <c r="X111" s="227">
        <f t="shared" ca="1" si="15"/>
        <v>0</v>
      </c>
      <c r="AB111" s="228" t="str">
        <f t="shared" ca="1" si="16"/>
        <v>TinPT Babel Inti Perkasa</v>
      </c>
    </row>
    <row r="112" spans="1:28" s="227" customFormat="1" ht="20.25">
      <c r="A112" s="181" t="s">
        <v>15076</v>
      </c>
      <c r="B112" s="182" t="str">
        <f ca="1">IF(LEN(A112)=0,"",INDEX('Smelter Look-up'!$A:$A,MATCH($A112,'Smelter Look-up'!$E:$E,0)))</f>
        <v>Tin</v>
      </c>
      <c r="C112" s="186" t="str">
        <f ca="1">IF(LEN(A112)=0,"",INDEX('Smelter Look-up'!$C:$C,MATCH($A112,'Smelter Look-up'!$E:$E,0)))</f>
        <v>PT Babel Surya Alam Lestari</v>
      </c>
      <c r="D112" s="230"/>
      <c r="E112" s="182" t="str">
        <f ca="1">IF(ISERROR($V112),"",OFFSET('Smelter Look-up'!$D$4,$V112-4,0)&amp;"")</f>
        <v>INDONESIA</v>
      </c>
      <c r="F112" s="182" t="str">
        <f ca="1">IF(ISERROR($V112),"",OFFSET('Smelter Look-up'!$E$4,$V112-4,0))</f>
        <v>CID001406</v>
      </c>
      <c r="G112" s="182" t="str">
        <f ca="1">IF(C112=$X$4,IF(ISERROR($V112),"Enter smelter details","RMI"),IF(ISERROR($V112),"",OFFSET('Smelter Look-up'!$F$4,$V112-4,0)))</f>
        <v>RMI</v>
      </c>
      <c r="H112" s="183">
        <f ca="1">IF(ISERROR($V112),"",OFFSET('Smelter Look-up'!$G$4,$V112-4,0))</f>
        <v>0</v>
      </c>
      <c r="I112" s="184" t="str">
        <f ca="1">IF(ISERROR($V112),"",OFFSET('Smelter Look-up'!$H$4,$V112-4,0))</f>
        <v>Badau</v>
      </c>
      <c r="J112" s="184" t="str">
        <f ca="1">IF(ISERROR($V112),"",OFFSET('Smelter Look-up'!$I$4,$V112-4,0))</f>
        <v>Kepulauan Bangka Belitung</v>
      </c>
      <c r="K112" s="224"/>
      <c r="L112" s="224"/>
      <c r="M112" s="224"/>
      <c r="N112" s="224"/>
      <c r="O112" s="224"/>
      <c r="P112" s="185"/>
      <c r="Q112" s="225"/>
      <c r="R112" s="182" t="str">
        <f ca="1">IF(ISERROR($V112),"",OFFSET('Smelter Look-up'!$C$4,$V112-4,0)&amp;"")</f>
        <v>PT Babel Surya Alam Lestari</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507</v>
      </c>
      <c r="X112" s="227">
        <f t="shared" ca="1" si="15"/>
        <v>0</v>
      </c>
      <c r="AB112" s="228" t="str">
        <f t="shared" ca="1" si="16"/>
        <v>TinPT Babel Surya Alam Lestari</v>
      </c>
    </row>
    <row r="113" spans="1:28" s="227" customFormat="1" ht="20.25">
      <c r="A113" s="181" t="s">
        <v>15446</v>
      </c>
      <c r="B113" s="182" t="str">
        <f ca="1">IF(LEN(A113)=0,"",INDEX('Smelter Look-up'!$A:$A,MATCH($A113,'Smelter Look-up'!$E:$E,0)))</f>
        <v>Tin</v>
      </c>
      <c r="C113" s="186" t="str">
        <f ca="1">IF(LEN(A113)=0,"",INDEX('Smelter Look-up'!$C:$C,MATCH($A113,'Smelter Look-up'!$E:$E,0)))</f>
        <v>PT Belitung Industri Sejahtera</v>
      </c>
      <c r="D113" s="230"/>
      <c r="E113" s="182" t="str">
        <f ca="1">IF(ISERROR($V113),"",OFFSET('Smelter Look-up'!$D$4,$V113-4,0)&amp;"")</f>
        <v>INDONESIA</v>
      </c>
      <c r="F113" s="182" t="str">
        <f ca="1">IF(ISERROR($V113),"",OFFSET('Smelter Look-up'!$E$4,$V113-4,0))</f>
        <v>CID001421</v>
      </c>
      <c r="G113" s="182" t="str">
        <f ca="1">IF(C113=$X$4,IF(ISERROR($V113),"Enter smelter details","RMI"),IF(ISERROR($V113),"",OFFSET('Smelter Look-up'!$F$4,$V113-4,0)))</f>
        <v>RMI</v>
      </c>
      <c r="H113" s="183">
        <f ca="1">IF(ISERROR($V113),"",OFFSET('Smelter Look-up'!$G$4,$V113-4,0))</f>
        <v>0</v>
      </c>
      <c r="I113" s="184" t="str">
        <f ca="1">IF(ISERROR($V113),"",OFFSET('Smelter Look-up'!$H$4,$V113-4,0))</f>
        <v>Belitung</v>
      </c>
      <c r="J113" s="184" t="str">
        <f ca="1">IF(ISERROR($V113),"",OFFSET('Smelter Look-up'!$I$4,$V113-4,0))</f>
        <v>Kepulauan Bangka Belitung</v>
      </c>
      <c r="K113" s="224"/>
      <c r="L113" s="224"/>
      <c r="M113" s="224"/>
      <c r="N113" s="224"/>
      <c r="O113" s="224"/>
      <c r="P113" s="185"/>
      <c r="Q113" s="225"/>
      <c r="R113" s="182" t="str">
        <f ca="1">IF(ISERROR($V113),"",OFFSET('Smelter Look-up'!$C$4,$V113-4,0)&amp;"")</f>
        <v>PT Belitung Industri Sejahtera</v>
      </c>
      <c r="S113" s="181" t="str">
        <f t="shared" ca="1" si="14"/>
        <v>ID</v>
      </c>
      <c r="T113" s="181" t="str">
        <f ca="1">IF(B113="","",IF(ISERROR(MATCH($J113,SorP!$B$1:$B$6226,0)),"",INDIRECT("'SorP'!$A$"&amp;MATCH($S113&amp;$J113,SorP!C:C,0))))</f>
        <v>ID-BB</v>
      </c>
      <c r="U113" s="201"/>
      <c r="V113" s="226">
        <f ca="1">IF(C113="",NA(),IF(OR(C113="Smelter not listed",C113="Smelter not yet identified"),MATCH($B113&amp;$D113,'Smelter Look-up'!$J:$J,0),MATCH($B113&amp;$C113,'Smelter Look-up'!$J:$J,0)))</f>
        <v>511</v>
      </c>
      <c r="X113" s="227">
        <f t="shared" ca="1" si="15"/>
        <v>0</v>
      </c>
      <c r="AB113" s="228" t="str">
        <f t="shared" ca="1" si="16"/>
        <v>TinPT Belitung Industri Sejahtera</v>
      </c>
    </row>
    <row r="114" spans="1:28" s="227" customFormat="1" ht="20.25">
      <c r="A114" s="181" t="s">
        <v>15435</v>
      </c>
      <c r="B114" s="182" t="str">
        <f ca="1">IF(LEN(A114)=0,"",INDEX('Smelter Look-up'!$A:$A,MATCH($A114,'Smelter Look-up'!$E:$E,0)))</f>
        <v>Tin</v>
      </c>
      <c r="C114" s="186" t="str">
        <f ca="1">IF(LEN(A114)=0,"",INDEX('Smelter Look-up'!$C:$C,MATCH($A114,'Smelter Look-up'!$E:$E,0)))</f>
        <v>PT Bukit Timah</v>
      </c>
      <c r="D114" s="230"/>
      <c r="E114" s="182" t="str">
        <f ca="1">IF(ISERROR($V114),"",OFFSET('Smelter Look-up'!$D$4,$V114-4,0)&amp;"")</f>
        <v>INDONESIA</v>
      </c>
      <c r="F114" s="182" t="str">
        <f ca="1">IF(ISERROR($V114),"",OFFSET('Smelter Look-up'!$E$4,$V114-4,0))</f>
        <v>CID001428</v>
      </c>
      <c r="G114" s="182" t="str">
        <f ca="1">IF(C114=$X$4,IF(ISERROR($V114),"Enter smelter details","RMI"),IF(ISERROR($V114),"",OFFSET('Smelter Look-up'!$F$4,$V114-4,0)))</f>
        <v>RMI</v>
      </c>
      <c r="H114" s="183">
        <f ca="1">IF(ISERROR($V114),"",OFFSET('Smelter Look-up'!$G$4,$V114-4,0))</f>
        <v>0</v>
      </c>
      <c r="I114" s="184" t="str">
        <f ca="1">IF(ISERROR($V114),"",OFFSET('Smelter Look-up'!$H$4,$V114-4,0))</f>
        <v>Pangkal Pinang</v>
      </c>
      <c r="J114" s="184" t="str">
        <f ca="1">IF(ISERROR($V114),"",OFFSET('Smelter Look-up'!$I$4,$V114-4,0))</f>
        <v>Kepulauan Bangka Belitung</v>
      </c>
      <c r="K114" s="224"/>
      <c r="L114" s="224"/>
      <c r="M114" s="224"/>
      <c r="N114" s="224"/>
      <c r="O114" s="224"/>
      <c r="P114" s="185"/>
      <c r="Q114" s="225"/>
      <c r="R114" s="182" t="str">
        <f ca="1">IF(ISERROR($V114),"",OFFSET('Smelter Look-up'!$C$4,$V114-4,0)&amp;"")</f>
        <v>PT Bukit Timah</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512</v>
      </c>
      <c r="X114" s="227">
        <f t="shared" ca="1" si="15"/>
        <v>0</v>
      </c>
      <c r="AB114" s="228" t="str">
        <f t="shared" ca="1" si="16"/>
        <v>TinPT Bukit Timah</v>
      </c>
    </row>
    <row r="115" spans="1:28" s="227" customFormat="1" ht="20.25">
      <c r="A115" s="181" t="s">
        <v>774</v>
      </c>
      <c r="B115" s="182" t="str">
        <f ca="1">IF(LEN(A115)=0,"",INDEX('Smelter Look-up'!$A:$A,MATCH($A115,'Smelter Look-up'!$E:$E,0)))</f>
        <v>Tin</v>
      </c>
      <c r="C115" s="186" t="str">
        <f ca="1">IF(LEN(A115)=0,"",INDEX('Smelter Look-up'!$C:$C,MATCH($A115,'Smelter Look-up'!$E:$E,0)))</f>
        <v>PT Mitra Stania Prima</v>
      </c>
      <c r="D115" s="230"/>
      <c r="E115" s="182" t="str">
        <f ca="1">IF(ISERROR($V115),"",OFFSET('Smelter Look-up'!$D$4,$V115-4,0)&amp;"")</f>
        <v>INDONESIA</v>
      </c>
      <c r="F115" s="182" t="str">
        <f ca="1">IF(ISERROR($V115),"",OFFSET('Smelter Look-up'!$E$4,$V115-4,0))</f>
        <v>CID001453</v>
      </c>
      <c r="G115" s="182" t="str">
        <f ca="1">IF(C115=$X$4,IF(ISERROR($V115),"Enter smelter details","RMI"),IF(ISERROR($V115),"",OFFSET('Smelter Look-up'!$F$4,$V115-4,0)))</f>
        <v>RMI</v>
      </c>
      <c r="H115" s="183">
        <f ca="1">IF(ISERROR($V115),"",OFFSET('Smelter Look-up'!$G$4,$V115-4,0))</f>
        <v>0</v>
      </c>
      <c r="I115" s="184" t="str">
        <f ca="1">IF(ISERROR($V115),"",OFFSET('Smelter Look-up'!$H$4,$V115-4,0))</f>
        <v>Sungailiat</v>
      </c>
      <c r="J115" s="184" t="str">
        <f ca="1">IF(ISERROR($V115),"",OFFSET('Smelter Look-up'!$I$4,$V115-4,0))</f>
        <v>Kepulauan Bangka Belitung</v>
      </c>
      <c r="K115" s="224"/>
      <c r="L115" s="224"/>
      <c r="M115" s="224"/>
      <c r="N115" s="224"/>
      <c r="O115" s="224"/>
      <c r="P115" s="185"/>
      <c r="Q115" s="225"/>
      <c r="R115" s="182" t="str">
        <f ca="1">IF(ISERROR($V115),"",OFFSET('Smelter Look-up'!$C$4,$V115-4,0)&amp;"")</f>
        <v>PT Mitra Stania Prima</v>
      </c>
      <c r="S115" s="181" t="str">
        <f t="shared" ca="1" si="14"/>
        <v>ID</v>
      </c>
      <c r="T115" s="181" t="str">
        <f ca="1">IF(B115="","",IF(ISERROR(MATCH($J115,SorP!$B$1:$B$6226,0)),"",INDIRECT("'SorP'!$A$"&amp;MATCH($S115&amp;$J115,SorP!C:C,0))))</f>
        <v>ID-BB</v>
      </c>
      <c r="U115" s="201"/>
      <c r="V115" s="226">
        <f ca="1">IF(C115="",NA(),IF(OR(C115="Smelter not listed",C115="Smelter not yet identified"),MATCH($B115&amp;$D115,'Smelter Look-up'!$J:$J,0),MATCH($B115&amp;$C115,'Smelter Look-up'!$J:$J,0)))</f>
        <v>518</v>
      </c>
      <c r="X115" s="227">
        <f t="shared" ca="1" si="15"/>
        <v>0</v>
      </c>
      <c r="AB115" s="228" t="str">
        <f t="shared" ca="1" si="16"/>
        <v>TinPT Mitra Stania Prima</v>
      </c>
    </row>
    <row r="116" spans="1:28" s="227" customFormat="1" ht="20.25">
      <c r="A116" s="181" t="s">
        <v>15080</v>
      </c>
      <c r="B116" s="182" t="str">
        <f ca="1">IF(LEN(A116)=0,"",INDEX('Smelter Look-up'!$A:$A,MATCH($A116,'Smelter Look-up'!$E:$E,0)))</f>
        <v>Tin</v>
      </c>
      <c r="C116" s="186" t="str">
        <f ca="1">IF(LEN(A116)=0,"",INDEX('Smelter Look-up'!$C:$C,MATCH($A116,'Smelter Look-up'!$E:$E,0)))</f>
        <v>PT Prima Timah Utama</v>
      </c>
      <c r="D116" s="230"/>
      <c r="E116" s="182" t="str">
        <f ca="1">IF(ISERROR($V116),"",OFFSET('Smelter Look-up'!$D$4,$V116-4,0)&amp;"")</f>
        <v>INDONESIA</v>
      </c>
      <c r="F116" s="182" t="str">
        <f ca="1">IF(ISERROR($V116),"",OFFSET('Smelter Look-up'!$E$4,$V116-4,0))</f>
        <v>CID001458</v>
      </c>
      <c r="G116" s="182" t="str">
        <f ca="1">IF(C116=$X$4,IF(ISERROR($V116),"Enter smelter details","RMI"),IF(ISERROR($V116),"",OFFSET('Smelter Look-up'!$F$4,$V116-4,0)))</f>
        <v>RMI</v>
      </c>
      <c r="H116" s="183">
        <f ca="1">IF(ISERROR($V116),"",OFFSET('Smelter Look-up'!$G$4,$V116-4,0))</f>
        <v>0</v>
      </c>
      <c r="I116" s="184" t="str">
        <f ca="1">IF(ISERROR($V116),"",OFFSET('Smelter Look-up'!$H$4,$V116-4,0))</f>
        <v>Pangkal Pinang</v>
      </c>
      <c r="J116" s="184" t="str">
        <f ca="1">IF(ISERROR($V116),"",OFFSET('Smelter Look-up'!$I$4,$V116-4,0))</f>
        <v>Kepulauan Bangka Belitung</v>
      </c>
      <c r="K116" s="224"/>
      <c r="L116" s="224"/>
      <c r="M116" s="224"/>
      <c r="N116" s="224"/>
      <c r="O116" s="224"/>
      <c r="P116" s="185"/>
      <c r="Q116" s="225"/>
      <c r="R116" s="182" t="str">
        <f ca="1">IF(ISERROR($V116),"",OFFSET('Smelter Look-up'!$C$4,$V116-4,0)&amp;"")</f>
        <v>PT Prima Timah Utama</v>
      </c>
      <c r="S116" s="181" t="str">
        <f t="shared" ca="1" si="14"/>
        <v>ID</v>
      </c>
      <c r="T116" s="181" t="str">
        <f ca="1">IF(B116="","",IF(ISERROR(MATCH($J116,SorP!$B$1:$B$6226,0)),"",INDIRECT("'SorP'!$A$"&amp;MATCH($S116&amp;$J116,SorP!C:C,0))))</f>
        <v>ID-BB</v>
      </c>
      <c r="U116" s="201"/>
      <c r="V116" s="226">
        <f ca="1">IF(C116="",NA(),IF(OR(C116="Smelter not listed",C116="Smelter not yet identified"),MATCH($B116&amp;$D116,'Smelter Look-up'!$J:$J,0),MATCH($B116&amp;$C116,'Smelter Look-up'!$J:$J,0)))</f>
        <v>522</v>
      </c>
      <c r="X116" s="227">
        <f t="shared" ca="1" si="15"/>
        <v>0</v>
      </c>
      <c r="AB116" s="228" t="str">
        <f t="shared" ca="1" si="16"/>
        <v>TinPT Prima Timah Utama</v>
      </c>
    </row>
    <row r="117" spans="1:28" s="227" customFormat="1" ht="20.25">
      <c r="A117" s="181" t="s">
        <v>775</v>
      </c>
      <c r="B117" s="182" t="str">
        <f ca="1">IF(LEN(A117)=0,"",INDEX('Smelter Look-up'!$A:$A,MATCH($A117,'Smelter Look-up'!$E:$E,0)))</f>
        <v>Tin</v>
      </c>
      <c r="C117" s="186" t="str">
        <f ca="1">IF(LEN(A117)=0,"",INDEX('Smelter Look-up'!$C:$C,MATCH($A117,'Smelter Look-up'!$E:$E,0)))</f>
        <v>PT Refined Bangka Tin</v>
      </c>
      <c r="D117" s="230"/>
      <c r="E117" s="182" t="str">
        <f ca="1">IF(ISERROR($V117),"",OFFSET('Smelter Look-up'!$D$4,$V117-4,0)&amp;"")</f>
        <v>INDONESIA</v>
      </c>
      <c r="F117" s="182" t="str">
        <f ca="1">IF(ISERROR($V117),"",OFFSET('Smelter Look-up'!$E$4,$V117-4,0))</f>
        <v>CID001460</v>
      </c>
      <c r="G117" s="182" t="str">
        <f ca="1">IF(C117=$X$4,IF(ISERROR($V117),"Enter smelter details","RMI"),IF(ISERROR($V117),"",OFFSET('Smelter Look-up'!$F$4,$V117-4,0)))</f>
        <v>RMI</v>
      </c>
      <c r="H117" s="183">
        <f ca="1">IF(ISERROR($V117),"",OFFSET('Smelter Look-up'!$G$4,$V117-4,0))</f>
        <v>0</v>
      </c>
      <c r="I117" s="184" t="str">
        <f ca="1">IF(ISERROR($V117),"",OFFSET('Smelter Look-up'!$H$4,$V117-4,0))</f>
        <v>Sungailiat</v>
      </c>
      <c r="J117" s="184" t="str">
        <f ca="1">IF(ISERROR($V117),"",OFFSET('Smelter Look-up'!$I$4,$V117-4,0))</f>
        <v>Kepulauan Bangka Belitung</v>
      </c>
      <c r="K117" s="224"/>
      <c r="L117" s="224"/>
      <c r="M117" s="224"/>
      <c r="N117" s="224"/>
      <c r="O117" s="224"/>
      <c r="P117" s="185"/>
      <c r="Q117" s="225"/>
      <c r="R117" s="182" t="str">
        <f ca="1">IF(ISERROR($V117),"",OFFSET('Smelter Look-up'!$C$4,$V117-4,0)&amp;"")</f>
        <v>PT Refined Bangka Tin</v>
      </c>
      <c r="S117" s="181" t="str">
        <f t="shared" ca="1" si="14"/>
        <v>ID</v>
      </c>
      <c r="T117" s="181" t="str">
        <f ca="1">IF(B117="","",IF(ISERROR(MATCH($J117,SorP!$B$1:$B$6226,0)),"",INDIRECT("'SorP'!$A$"&amp;MATCH($S117&amp;$J117,SorP!C:C,0))))</f>
        <v>ID-BB</v>
      </c>
      <c r="U117" s="201"/>
      <c r="V117" s="226">
        <f ca="1">IF(C117="",NA(),IF(OR(C117="Smelter not listed",C117="Smelter not yet identified"),MATCH($B117&amp;$D117,'Smelter Look-up'!$J:$J,0),MATCH($B117&amp;$C117,'Smelter Look-up'!$J:$J,0)))</f>
        <v>526</v>
      </c>
      <c r="X117" s="227">
        <f t="shared" ca="1" si="15"/>
        <v>0</v>
      </c>
      <c r="AB117" s="228" t="str">
        <f t="shared" ca="1" si="16"/>
        <v>TinPT Refined Bangka Tin</v>
      </c>
    </row>
    <row r="118" spans="1:28" s="227" customFormat="1" ht="20.25">
      <c r="A118" s="181" t="s">
        <v>15457</v>
      </c>
      <c r="B118" s="182" t="str">
        <f ca="1">IF(LEN(A118)=0,"",INDEX('Smelter Look-up'!$A:$A,MATCH($A118,'Smelter Look-up'!$E:$E,0)))</f>
        <v>Tin</v>
      </c>
      <c r="C118" s="186" t="str">
        <f ca="1">IF(LEN(A118)=0,"",INDEX('Smelter Look-up'!$C:$C,MATCH($A118,'Smelter Look-up'!$E:$E,0)))</f>
        <v>PT Sariwiguna Binasentosa</v>
      </c>
      <c r="D118" s="230"/>
      <c r="E118" s="182" t="str">
        <f ca="1">IF(ISERROR($V118),"",OFFSET('Smelter Look-up'!$D$4,$V118-4,0)&amp;"")</f>
        <v>INDONESIA</v>
      </c>
      <c r="F118" s="182" t="str">
        <f ca="1">IF(ISERROR($V118),"",OFFSET('Smelter Look-up'!$E$4,$V118-4,0))</f>
        <v>CID001463</v>
      </c>
      <c r="G118" s="182" t="str">
        <f ca="1">IF(C118=$X$4,IF(ISERROR($V118),"Enter smelter details","RMI"),IF(ISERROR($V118),"",OFFSET('Smelter Look-up'!$F$4,$V118-4,0)))</f>
        <v>RMI</v>
      </c>
      <c r="H118" s="183">
        <f ca="1">IF(ISERROR($V118),"",OFFSET('Smelter Look-up'!$G$4,$V118-4,0))</f>
        <v>0</v>
      </c>
      <c r="I118" s="184" t="str">
        <f ca="1">IF(ISERROR($V118),"",OFFSET('Smelter Look-up'!$H$4,$V118-4,0))</f>
        <v>Pangkal Pinang</v>
      </c>
      <c r="J118" s="184" t="str">
        <f ca="1">IF(ISERROR($V118),"",OFFSET('Smelter Look-up'!$I$4,$V118-4,0))</f>
        <v>Kepulauan Bangka Belitung</v>
      </c>
      <c r="K118" s="224"/>
      <c r="L118" s="224"/>
      <c r="M118" s="224"/>
      <c r="N118" s="224"/>
      <c r="O118" s="224"/>
      <c r="P118" s="185"/>
      <c r="Q118" s="225"/>
      <c r="R118" s="182" t="str">
        <f ca="1">IF(ISERROR($V118),"",OFFSET('Smelter Look-up'!$C$4,$V118-4,0)&amp;"")</f>
        <v>PT Sariwiguna Binasentosa</v>
      </c>
      <c r="S118" s="181" t="str">
        <f t="shared" ca="1" si="14"/>
        <v>ID</v>
      </c>
      <c r="T118" s="181" t="str">
        <f ca="1">IF(B118="","",IF(ISERROR(MATCH($J118,SorP!$B$1:$B$6226,0)),"",INDIRECT("'SorP'!$A$"&amp;MATCH($S118&amp;$J118,SorP!C:C,0))))</f>
        <v>ID-BB</v>
      </c>
      <c r="U118" s="201"/>
      <c r="V118" s="226">
        <f ca="1">IF(C118="",NA(),IF(OR(C118="Smelter not listed",C118="Smelter not yet identified"),MATCH($B118&amp;$D118,'Smelter Look-up'!$J:$J,0),MATCH($B118&amp;$C118,'Smelter Look-up'!$J:$J,0)))</f>
        <v>527</v>
      </c>
      <c r="X118" s="227">
        <f t="shared" ca="1" si="15"/>
        <v>0</v>
      </c>
      <c r="AB118" s="228" t="str">
        <f t="shared" ca="1" si="16"/>
        <v>TinPT Sariwiguna Binasentosa</v>
      </c>
    </row>
    <row r="119" spans="1:28" s="227" customFormat="1" ht="20.25">
      <c r="A119" s="181" t="s">
        <v>15084</v>
      </c>
      <c r="B119" s="182" t="str">
        <f ca="1">IF(LEN(A119)=0,"",INDEX('Smelter Look-up'!$A:$A,MATCH($A119,'Smelter Look-up'!$E:$E,0)))</f>
        <v>Tin</v>
      </c>
      <c r="C119" s="186" t="str">
        <f ca="1">IF(LEN(A119)=0,"",INDEX('Smelter Look-up'!$C:$C,MATCH($A119,'Smelter Look-up'!$E:$E,0)))</f>
        <v>PT Stanindo Inti Perkasa</v>
      </c>
      <c r="D119" s="230"/>
      <c r="E119" s="182" t="str">
        <f ca="1">IF(ISERROR($V119),"",OFFSET('Smelter Look-up'!$D$4,$V119-4,0)&amp;"")</f>
        <v>INDONESIA</v>
      </c>
      <c r="F119" s="182" t="str">
        <f ca="1">IF(ISERROR($V119),"",OFFSET('Smelter Look-up'!$E$4,$V119-4,0))</f>
        <v>CID001468</v>
      </c>
      <c r="G119" s="182" t="str">
        <f ca="1">IF(C119=$X$4,IF(ISERROR($V119),"Enter smelter details","RMI"),IF(ISERROR($V119),"",OFFSET('Smelter Look-up'!$F$4,$V119-4,0)))</f>
        <v>RMI</v>
      </c>
      <c r="H119" s="183">
        <f ca="1">IF(ISERROR($V119),"",OFFSET('Smelter Look-up'!$G$4,$V119-4,0))</f>
        <v>0</v>
      </c>
      <c r="I119" s="184" t="str">
        <f ca="1">IF(ISERROR($V119),"",OFFSET('Smelter Look-up'!$H$4,$V119-4,0))</f>
        <v>Pangkal Pinang</v>
      </c>
      <c r="J119" s="184" t="str">
        <f ca="1">IF(ISERROR($V119),"",OFFSET('Smelter Look-up'!$I$4,$V119-4,0))</f>
        <v>Kepulauan Bangka Belitung</v>
      </c>
      <c r="K119" s="224"/>
      <c r="L119" s="224"/>
      <c r="M119" s="224"/>
      <c r="N119" s="224"/>
      <c r="O119" s="224"/>
      <c r="P119" s="185"/>
      <c r="Q119" s="225"/>
      <c r="R119" s="182" t="str">
        <f ca="1">IF(ISERROR($V119),"",OFFSET('Smelter Look-up'!$C$4,$V119-4,0)&amp;"")</f>
        <v>PT Stanindo Inti Perkasa</v>
      </c>
      <c r="S119" s="181" t="str">
        <f t="shared" ca="1" si="14"/>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528</v>
      </c>
      <c r="X119" s="227">
        <f t="shared" ca="1" si="15"/>
        <v>0</v>
      </c>
      <c r="AB119" s="228" t="str">
        <f t="shared" ca="1" si="16"/>
        <v>TinPT Stanindo Inti Perkasa</v>
      </c>
    </row>
    <row r="120" spans="1:28" s="227" customFormat="1" ht="20.25">
      <c r="A120" s="181" t="s">
        <v>794</v>
      </c>
      <c r="B120" s="182" t="str">
        <f ca="1">IF(LEN(A120)=0,"",INDEX('Smelter Look-up'!$A:$A,MATCH($A120,'Smelter Look-up'!$E:$E,0)))</f>
        <v>Tin</v>
      </c>
      <c r="C120" s="186" t="str">
        <f ca="1">IF(LEN(A120)=0,"",INDEX('Smelter Look-up'!$C:$C,MATCH($A120,'Smelter Look-up'!$E:$E,0)))</f>
        <v>PT Timah Tbk Kundur</v>
      </c>
      <c r="D120" s="230"/>
      <c r="E120" s="182" t="str">
        <f ca="1">IF(ISERROR($V120),"",OFFSET('Smelter Look-up'!$D$4,$V120-4,0)&amp;"")</f>
        <v>INDONESIA</v>
      </c>
      <c r="F120" s="182" t="str">
        <f ca="1">IF(ISERROR($V120),"",OFFSET('Smelter Look-up'!$E$4,$V120-4,0))</f>
        <v>CID001477</v>
      </c>
      <c r="G120" s="182" t="str">
        <f ca="1">IF(C120=$X$4,IF(ISERROR($V120),"Enter smelter details","RMI"),IF(ISERROR($V120),"",OFFSET('Smelter Look-up'!$F$4,$V120-4,0)))</f>
        <v>RMI</v>
      </c>
      <c r="H120" s="183">
        <f ca="1">IF(ISERROR($V120),"",OFFSET('Smelter Look-up'!$G$4,$V120-4,0))</f>
        <v>0</v>
      </c>
      <c r="I120" s="184" t="str">
        <f ca="1">IF(ISERROR($V120),"",OFFSET('Smelter Look-up'!$H$4,$V120-4,0))</f>
        <v>Kundur</v>
      </c>
      <c r="J120" s="184" t="str">
        <f ca="1">IF(ISERROR($V120),"",OFFSET('Smelter Look-up'!$I$4,$V120-4,0))</f>
        <v>Riau</v>
      </c>
      <c r="K120" s="224"/>
      <c r="L120" s="224"/>
      <c r="M120" s="224"/>
      <c r="N120" s="224"/>
      <c r="O120" s="224"/>
      <c r="P120" s="185"/>
      <c r="Q120" s="225"/>
      <c r="R120" s="182" t="str">
        <f ca="1">IF(ISERROR($V120),"",OFFSET('Smelter Look-up'!$C$4,$V120-4,0)&amp;"")</f>
        <v>PT Timah Tbk Kundur</v>
      </c>
      <c r="S120" s="181" t="str">
        <f t="shared" ca="1" si="14"/>
        <v>ID</v>
      </c>
      <c r="T120" s="181" t="str">
        <f ca="1">IF(B120="","",IF(ISERROR(MATCH($J120,SorP!$B$1:$B$6226,0)),"",INDIRECT("'SorP'!$A$"&amp;MATCH($S120&amp;$J120,SorP!C:C,0))))</f>
        <v>ID-RI</v>
      </c>
      <c r="U120" s="201"/>
      <c r="V120" s="226">
        <f ca="1">IF(C120="",NA(),IF(OR(C120="Smelter not listed",C120="Smelter not yet identified"),MATCH($B120&amp;$D120,'Smelter Look-up'!$J:$J,0),MATCH($B120&amp;$C120,'Smelter Look-up'!$J:$J,0)))</f>
        <v>532</v>
      </c>
      <c r="X120" s="227">
        <f t="shared" ca="1" si="15"/>
        <v>0</v>
      </c>
      <c r="AB120" s="228" t="str">
        <f t="shared" ca="1" si="16"/>
        <v>TinPT Timah Tbk Kundur</v>
      </c>
    </row>
    <row r="121" spans="1:28" s="227" customFormat="1" ht="20.25">
      <c r="A121" s="181" t="s">
        <v>776</v>
      </c>
      <c r="B121" s="182" t="str">
        <f ca="1">IF(LEN(A121)=0,"",INDEX('Smelter Look-up'!$A:$A,MATCH($A121,'Smelter Look-up'!$E:$E,0)))</f>
        <v>Tin</v>
      </c>
      <c r="C121" s="186" t="str">
        <f ca="1">IF(LEN(A121)=0,"",INDEX('Smelter Look-up'!$C:$C,MATCH($A121,'Smelter Look-up'!$E:$E,0)))</f>
        <v>PT Timah Tbk Mentok</v>
      </c>
      <c r="D121" s="230"/>
      <c r="E121" s="182" t="str">
        <f ca="1">IF(ISERROR($V121),"",OFFSET('Smelter Look-up'!$D$4,$V121-4,0)&amp;"")</f>
        <v>INDONESIA</v>
      </c>
      <c r="F121" s="182" t="str">
        <f ca="1">IF(ISERROR($V121),"",OFFSET('Smelter Look-up'!$E$4,$V121-4,0))</f>
        <v>CID001482</v>
      </c>
      <c r="G121" s="182" t="str">
        <f ca="1">IF(C121=$X$4,IF(ISERROR($V121),"Enter smelter details","RMI"),IF(ISERROR($V121),"",OFFSET('Smelter Look-up'!$F$4,$V121-4,0)))</f>
        <v>RMI</v>
      </c>
      <c r="H121" s="183">
        <f ca="1">IF(ISERROR($V121),"",OFFSET('Smelter Look-up'!$G$4,$V121-4,0))</f>
        <v>0</v>
      </c>
      <c r="I121" s="184" t="str">
        <f ca="1">IF(ISERROR($V121),"",OFFSET('Smelter Look-up'!$H$4,$V121-4,0))</f>
        <v>Mentok</v>
      </c>
      <c r="J121" s="184" t="str">
        <f ca="1">IF(ISERROR($V121),"",OFFSET('Smelter Look-up'!$I$4,$V121-4,0))</f>
        <v>Kepulauan Bangka Belitung</v>
      </c>
      <c r="K121" s="224"/>
      <c r="L121" s="224"/>
      <c r="M121" s="224"/>
      <c r="N121" s="224"/>
      <c r="O121" s="224"/>
      <c r="P121" s="185"/>
      <c r="Q121" s="225"/>
      <c r="R121" s="182" t="str">
        <f ca="1">IF(ISERROR($V121),"",OFFSET('Smelter Look-up'!$C$4,$V121-4,0)&amp;"")</f>
        <v>PT Timah Tbk Mentok</v>
      </c>
      <c r="S121" s="181" t="str">
        <f t="shared" ca="1" si="14"/>
        <v>ID</v>
      </c>
      <c r="T121" s="181" t="str">
        <f ca="1">IF(B121="","",IF(ISERROR(MATCH($J121,SorP!$B$1:$B$6226,0)),"",INDIRECT("'SorP'!$A$"&amp;MATCH($S121&amp;$J121,SorP!C:C,0))))</f>
        <v>ID-BB</v>
      </c>
      <c r="U121" s="201"/>
      <c r="V121" s="226">
        <f ca="1">IF(C121="",NA(),IF(OR(C121="Smelter not listed",C121="Smelter not yet identified"),MATCH($B121&amp;$D121,'Smelter Look-up'!$J:$J,0),MATCH($B121&amp;$C121,'Smelter Look-up'!$J:$J,0)))</f>
        <v>533</v>
      </c>
      <c r="X121" s="227">
        <f t="shared" ca="1" si="15"/>
        <v>0</v>
      </c>
      <c r="AB121" s="228" t="str">
        <f t="shared" ca="1" si="16"/>
        <v>TinPT Timah Tbk Mentok</v>
      </c>
    </row>
    <row r="122" spans="1:28" s="227" customFormat="1" ht="20.25">
      <c r="A122" s="181" t="s">
        <v>15088</v>
      </c>
      <c r="B122" s="182" t="str">
        <f ca="1">IF(LEN(A122)=0,"",INDEX('Smelter Look-up'!$A:$A,MATCH($A122,'Smelter Look-up'!$E:$E,0)))</f>
        <v>Tin</v>
      </c>
      <c r="C122" s="186" t="str">
        <f ca="1">IF(LEN(A122)=0,"",INDEX('Smelter Look-up'!$C:$C,MATCH($A122,'Smelter Look-up'!$E:$E,0)))</f>
        <v>PT Tinindo Inter Nusa</v>
      </c>
      <c r="D122" s="230"/>
      <c r="E122" s="182" t="str">
        <f ca="1">IF(ISERROR($V122),"",OFFSET('Smelter Look-up'!$D$4,$V122-4,0)&amp;"")</f>
        <v>INDONESIA</v>
      </c>
      <c r="F122" s="182" t="str">
        <f ca="1">IF(ISERROR($V122),"",OFFSET('Smelter Look-up'!$E$4,$V122-4,0))</f>
        <v>CID001490</v>
      </c>
      <c r="G122" s="182" t="str">
        <f ca="1">IF(C122=$X$4,IF(ISERROR($V122),"Enter smelter details","RMI"),IF(ISERROR($V122),"",OFFSET('Smelter Look-up'!$F$4,$V122-4,0)))</f>
        <v>RMI</v>
      </c>
      <c r="H122" s="183">
        <f ca="1">IF(ISERROR($V122),"",OFFSET('Smelter Look-up'!$G$4,$V122-4,0))</f>
        <v>0</v>
      </c>
      <c r="I122" s="184" t="str">
        <f ca="1">IF(ISERROR($V122),"",OFFSET('Smelter Look-up'!$H$4,$V122-4,0))</f>
        <v>Pangkal Pinang</v>
      </c>
      <c r="J122" s="184" t="str">
        <f ca="1">IF(ISERROR($V122),"",OFFSET('Smelter Look-up'!$I$4,$V122-4,0))</f>
        <v>Kepulauan Bangka Belitung</v>
      </c>
      <c r="K122" s="224"/>
      <c r="L122" s="224"/>
      <c r="M122" s="224"/>
      <c r="N122" s="224"/>
      <c r="O122" s="224"/>
      <c r="P122" s="185"/>
      <c r="Q122" s="225"/>
      <c r="R122" s="182" t="str">
        <f ca="1">IF(ISERROR($V122),"",OFFSET('Smelter Look-up'!$C$4,$V122-4,0)&amp;"")</f>
        <v>PT Tinindo Inter Nusa</v>
      </c>
      <c r="S122" s="181" t="str">
        <f t="shared" ca="1" si="14"/>
        <v>ID</v>
      </c>
      <c r="T122" s="181" t="str">
        <f ca="1">IF(B122="","",IF(ISERROR(MATCH($J122,SorP!$B$1:$B$6226,0)),"",INDIRECT("'SorP'!$A$"&amp;MATCH($S122&amp;$J122,SorP!C:C,0))))</f>
        <v>ID-BB</v>
      </c>
      <c r="U122" s="201"/>
      <c r="V122" s="226">
        <f ca="1">IF(C122="",NA(),IF(OR(C122="Smelter not listed",C122="Smelter not yet identified"),MATCH($B122&amp;$D122,'Smelter Look-up'!$J:$J,0),MATCH($B122&amp;$C122,'Smelter Look-up'!$J:$J,0)))</f>
        <v>534</v>
      </c>
      <c r="X122" s="227">
        <f t="shared" ca="1" si="15"/>
        <v>0</v>
      </c>
      <c r="AB122" s="228" t="str">
        <f t="shared" ca="1" si="16"/>
        <v>TinPT Tinindo Inter Nusa</v>
      </c>
    </row>
    <row r="123" spans="1:28" s="227" customFormat="1" ht="20.25">
      <c r="A123" s="181" t="s">
        <v>15463</v>
      </c>
      <c r="B123" s="182" t="str">
        <f ca="1">IF(LEN(A123)=0,"",INDEX('Smelter Look-up'!$A:$A,MATCH($A123,'Smelter Look-up'!$E:$E,0)))</f>
        <v>Tin</v>
      </c>
      <c r="C123" s="186" t="str">
        <f ca="1">IF(LEN(A123)=0,"",INDEX('Smelter Look-up'!$C:$C,MATCH($A123,'Smelter Look-up'!$E:$E,0)))</f>
        <v>PT Tommy Utama</v>
      </c>
      <c r="D123" s="230"/>
      <c r="E123" s="182" t="str">
        <f ca="1">IF(ISERROR($V123),"",OFFSET('Smelter Look-up'!$D$4,$V123-4,0)&amp;"")</f>
        <v>INDONESIA</v>
      </c>
      <c r="F123" s="182" t="str">
        <f ca="1">IF(ISERROR($V123),"",OFFSET('Smelter Look-up'!$E$4,$V123-4,0))</f>
        <v>CID001493</v>
      </c>
      <c r="G123" s="182" t="str">
        <f ca="1">IF(C123=$X$4,IF(ISERROR($V123),"Enter smelter details","RMI"),IF(ISERROR($V123),"",OFFSET('Smelter Look-up'!$F$4,$V123-4,0)))</f>
        <v>RMI</v>
      </c>
      <c r="H123" s="183">
        <f ca="1">IF(ISERROR($V123),"",OFFSET('Smelter Look-up'!$G$4,$V123-4,0))</f>
        <v>0</v>
      </c>
      <c r="I123" s="184" t="str">
        <f ca="1">IF(ISERROR($V123),"",OFFSET('Smelter Look-up'!$H$4,$V123-4,0))</f>
        <v>Sumping Desa Batu Peyu</v>
      </c>
      <c r="J123" s="184" t="str">
        <f ca="1">IF(ISERROR($V123),"",OFFSET('Smelter Look-up'!$I$4,$V123-4,0))</f>
        <v>Kepulauan Bangka Belitung</v>
      </c>
      <c r="K123" s="224"/>
      <c r="L123" s="224"/>
      <c r="M123" s="224"/>
      <c r="N123" s="224"/>
      <c r="O123" s="224"/>
      <c r="P123" s="185"/>
      <c r="Q123" s="225"/>
      <c r="R123" s="182" t="str">
        <f ca="1">IF(ISERROR($V123),"",OFFSET('Smelter Look-up'!$C$4,$V123-4,0)&amp;"")</f>
        <v>PT Tommy Utama</v>
      </c>
      <c r="S123" s="181" t="str">
        <f t="shared" ca="1" si="14"/>
        <v>ID</v>
      </c>
      <c r="T123" s="181" t="str">
        <f ca="1">IF(B123="","",IF(ISERROR(MATCH($J123,SorP!$B$1:$B$6226,0)),"",INDIRECT("'SorP'!$A$"&amp;MATCH($S123&amp;$J123,SorP!C:C,0))))</f>
        <v>ID-BB</v>
      </c>
      <c r="U123" s="201"/>
      <c r="V123" s="226">
        <f ca="1">IF(C123="",NA(),IF(OR(C123="Smelter not listed",C123="Smelter not yet identified"),MATCH($B123&amp;$D123,'Smelter Look-up'!$J:$J,0),MATCH($B123&amp;$C123,'Smelter Look-up'!$J:$J,0)))</f>
        <v>536</v>
      </c>
      <c r="X123" s="227">
        <f t="shared" ca="1" si="15"/>
        <v>0</v>
      </c>
      <c r="AB123" s="228" t="str">
        <f t="shared" ca="1" si="16"/>
        <v>TinPT Tommy Utama</v>
      </c>
    </row>
    <row r="124" spans="1:28" s="227" customFormat="1" ht="20.25">
      <c r="A124" s="181" t="s">
        <v>778</v>
      </c>
      <c r="B124" s="182" t="str">
        <f ca="1">IF(LEN(A124)=0,"",INDEX('Smelter Look-up'!$A:$A,MATCH($A124,'Smelter Look-up'!$E:$E,0)))</f>
        <v>Tin</v>
      </c>
      <c r="C124" s="186" t="str">
        <f ca="1">IF(LEN(A124)=0,"",INDEX('Smelter Look-up'!$C:$C,MATCH($A124,'Smelter Look-up'!$E:$E,0)))</f>
        <v>Rui Da Hung</v>
      </c>
      <c r="D124" s="230"/>
      <c r="E124" s="182" t="str">
        <f ca="1">IF(ISERROR($V124),"",OFFSET('Smelter Look-up'!$D$4,$V124-4,0)&amp;"")</f>
        <v>TAIWAN, PROVINCE OF CHINA</v>
      </c>
      <c r="F124" s="182" t="str">
        <f ca="1">IF(ISERROR($V124),"",OFFSET('Smelter Look-up'!$E$4,$V124-4,0))</f>
        <v>CID001539</v>
      </c>
      <c r="G124" s="182" t="str">
        <f ca="1">IF(C124=$X$4,IF(ISERROR($V124),"Enter smelter details","RMI"),IF(ISERROR($V124),"",OFFSET('Smelter Look-up'!$F$4,$V124-4,0)))</f>
        <v>RMI</v>
      </c>
      <c r="H124" s="183">
        <f ca="1">IF(ISERROR($V124),"",OFFSET('Smelter Look-up'!$G$4,$V124-4,0))</f>
        <v>0</v>
      </c>
      <c r="I124" s="184" t="str">
        <f ca="1">IF(ISERROR($V124),"",OFFSET('Smelter Look-up'!$H$4,$V124-4,0))</f>
        <v>Longtan Shiang Taoyuan</v>
      </c>
      <c r="J124" s="184" t="str">
        <f ca="1">IF(ISERROR($V124),"",OFFSET('Smelter Look-up'!$I$4,$V124-4,0))</f>
        <v>Taoyuan</v>
      </c>
      <c r="K124" s="224"/>
      <c r="L124" s="224"/>
      <c r="M124" s="224"/>
      <c r="N124" s="224"/>
      <c r="O124" s="224"/>
      <c r="P124" s="185"/>
      <c r="Q124" s="225"/>
      <c r="R124" s="182" t="str">
        <f ca="1">IF(ISERROR($V124),"",OFFSET('Smelter Look-up'!$C$4,$V124-4,0)&amp;"")</f>
        <v>Rui Da Hung</v>
      </c>
      <c r="S124" s="181" t="str">
        <f t="shared" ca="1" si="14"/>
        <v>TW</v>
      </c>
      <c r="T124" s="181" t="str">
        <f ca="1">IF(B124="","",IF(ISERROR(MATCH($J124,SorP!$B$1:$B$6226,0)),"",INDIRECT("'SorP'!$A$"&amp;MATCH($S124&amp;$J124,SorP!C:C,0))))</f>
        <v>TW-TAO</v>
      </c>
      <c r="U124" s="201"/>
      <c r="V124" s="226">
        <f ca="1">IF(C124="",NA(),IF(OR(C124="Smelter not listed",C124="Smelter not yet identified"),MATCH($B124&amp;$D124,'Smelter Look-up'!$J:$J,0),MATCH($B124&amp;$C124,'Smelter Look-up'!$J:$J,0)))</f>
        <v>541</v>
      </c>
      <c r="X124" s="227">
        <f t="shared" ca="1" si="15"/>
        <v>0</v>
      </c>
      <c r="AB124" s="228" t="str">
        <f t="shared" ca="1" si="16"/>
        <v>TinRui Da Hung</v>
      </c>
    </row>
    <row r="125" spans="1:28" s="227" customFormat="1" ht="20.25">
      <c r="A125" s="181" t="s">
        <v>779</v>
      </c>
      <c r="B125" s="182" t="str">
        <f ca="1">IF(LEN(A125)=0,"",INDEX('Smelter Look-up'!$A:$A,MATCH($A125,'Smelter Look-up'!$E:$E,0)))</f>
        <v>Tin</v>
      </c>
      <c r="C125" s="186" t="str">
        <f ca="1">IF(LEN(A125)=0,"",INDEX('Smelter Look-up'!$C:$C,MATCH($A125,'Smelter Look-up'!$E:$E,0)))</f>
        <v>Thaisarco</v>
      </c>
      <c r="D125" s="230"/>
      <c r="E125" s="182" t="str">
        <f ca="1">IF(ISERROR($V125),"",OFFSET('Smelter Look-up'!$D$4,$V125-4,0)&amp;"")</f>
        <v>THAILAND</v>
      </c>
      <c r="F125" s="182" t="str">
        <f ca="1">IF(ISERROR($V125),"",OFFSET('Smelter Look-up'!$E$4,$V125-4,0))</f>
        <v>CID001898</v>
      </c>
      <c r="G125" s="182" t="str">
        <f ca="1">IF(C125=$X$4,IF(ISERROR($V125),"Enter smelter details","RMI"),IF(ISERROR($V125),"",OFFSET('Smelter Look-up'!$F$4,$V125-4,0)))</f>
        <v>RMI</v>
      </c>
      <c r="H125" s="183">
        <f ca="1">IF(ISERROR($V125),"",OFFSET('Smelter Look-up'!$G$4,$V125-4,0))</f>
        <v>0</v>
      </c>
      <c r="I125" s="184" t="str">
        <f ca="1">IF(ISERROR($V125),"",OFFSET('Smelter Look-up'!$H$4,$V125-4,0))</f>
        <v>Amphur Muang</v>
      </c>
      <c r="J125" s="184" t="str">
        <f ca="1">IF(ISERROR($V125),"",OFFSET('Smelter Look-up'!$I$4,$V125-4,0))</f>
        <v>Phuket</v>
      </c>
      <c r="K125" s="224"/>
      <c r="L125" s="224"/>
      <c r="M125" s="224"/>
      <c r="N125" s="224"/>
      <c r="O125" s="224"/>
      <c r="P125" s="185"/>
      <c r="Q125" s="225"/>
      <c r="R125" s="182" t="str">
        <f ca="1">IF(ISERROR($V125),"",OFFSET('Smelter Look-up'!$C$4,$V125-4,0)&amp;"")</f>
        <v>Thaisarco</v>
      </c>
      <c r="S125" s="181" t="str">
        <f t="shared" ca="1" si="14"/>
        <v>TH</v>
      </c>
      <c r="T125" s="181" t="str">
        <f ca="1">IF(B125="","",IF(ISERROR(MATCH($J125,SorP!$B$1:$B$6226,0)),"",INDIRECT("'SorP'!$A$"&amp;MATCH($S125&amp;$J125,SorP!C:C,0))))</f>
        <v>TH-83</v>
      </c>
      <c r="U125" s="201"/>
      <c r="V125" s="226">
        <f ca="1">IF(C125="",NA(),IF(OR(C125="Smelter not listed",C125="Smelter not yet identified"),MATCH($B125&amp;$D125,'Smelter Look-up'!$J:$J,0),MATCH($B125&amp;$C125,'Smelter Look-up'!$J:$J,0)))</f>
        <v>547</v>
      </c>
      <c r="X125" s="227">
        <f t="shared" ca="1" si="15"/>
        <v>0</v>
      </c>
      <c r="AB125" s="228" t="str">
        <f t="shared" ca="1" si="16"/>
        <v>TinThaisarco</v>
      </c>
    </row>
    <row r="126" spans="1:28" s="227" customFormat="1" ht="20.25">
      <c r="A126" s="181" t="s">
        <v>780</v>
      </c>
      <c r="B126" s="182" t="str">
        <f ca="1">IF(LEN(A126)=0,"",INDEX('Smelter Look-up'!$A:$A,MATCH($A126,'Smelter Look-up'!$E:$E,0)))</f>
        <v>Tin</v>
      </c>
      <c r="C126" s="186" t="str">
        <f ca="1">IF(LEN(A126)=0,"",INDEX('Smelter Look-up'!$C:$C,MATCH($A126,'Smelter Look-up'!$E:$E,0)))</f>
        <v>White Solder Metalurgia e Mineracao Ltda.</v>
      </c>
      <c r="D126" s="230"/>
      <c r="E126" s="182" t="str">
        <f ca="1">IF(ISERROR($V126),"",OFFSET('Smelter Look-up'!$D$4,$V126-4,0)&amp;"")</f>
        <v>BRAZIL</v>
      </c>
      <c r="F126" s="182" t="str">
        <f ca="1">IF(ISERROR($V126),"",OFFSET('Smelter Look-up'!$E$4,$V126-4,0))</f>
        <v>CID002036</v>
      </c>
      <c r="G126" s="182" t="str">
        <f ca="1">IF(C126=$X$4,IF(ISERROR($V126),"Enter smelter details","RMI"),IF(ISERROR($V126),"",OFFSET('Smelter Look-up'!$F$4,$V126-4,0)))</f>
        <v>RMI</v>
      </c>
      <c r="H126" s="183">
        <f ca="1">IF(ISERROR($V126),"",OFFSET('Smelter Look-up'!$G$4,$V126-4,0))</f>
        <v>0</v>
      </c>
      <c r="I126" s="184" t="str">
        <f ca="1">IF(ISERROR($V126),"",OFFSET('Smelter Look-up'!$H$4,$V126-4,0))</f>
        <v>Ariquemes</v>
      </c>
      <c r="J126" s="184" t="str">
        <f ca="1">IF(ISERROR($V126),"",OFFSET('Smelter Look-up'!$I$4,$V126-4,0))</f>
        <v>Rondônia</v>
      </c>
      <c r="K126" s="224"/>
      <c r="L126" s="224"/>
      <c r="M126" s="224"/>
      <c r="N126" s="224"/>
      <c r="O126" s="224"/>
      <c r="P126" s="185"/>
      <c r="Q126" s="225"/>
      <c r="R126" s="182" t="str">
        <f ca="1">IF(ISERROR($V126),"",OFFSET('Smelter Look-up'!$C$4,$V126-4,0)&amp;"")</f>
        <v>White Solder Metalurgia e Mineracao Ltda.</v>
      </c>
      <c r="S126" s="181" t="str">
        <f t="shared" ca="1" si="14"/>
        <v>BR</v>
      </c>
      <c r="T126" s="181" t="str">
        <f ca="1">IF(B126="","",IF(ISERROR(MATCH($J126,SorP!$B$1:$B$6226,0)),"",INDIRECT("'SorP'!$A$"&amp;MATCH($S126&amp;$J126,SorP!C:C,0))))</f>
        <v>BR-RO</v>
      </c>
      <c r="U126" s="201"/>
      <c r="V126" s="226">
        <f ca="1">IF(C126="",NA(),IF(OR(C126="Smelter not listed",C126="Smelter not yet identified"),MATCH($B126&amp;$D126,'Smelter Look-up'!$J:$J,0),MATCH($B126&amp;$C126,'Smelter Look-up'!$J:$J,0)))</f>
        <v>556</v>
      </c>
      <c r="X126" s="227">
        <f t="shared" ca="1" si="15"/>
        <v>0</v>
      </c>
      <c r="AB126" s="228" t="str">
        <f t="shared" ca="1" si="16"/>
        <v>TinWhite Solder Metalurgia e Mineracao Ltda.</v>
      </c>
    </row>
    <row r="127" spans="1:28" s="227" customFormat="1" ht="20.25">
      <c r="A127" s="181" t="s">
        <v>781</v>
      </c>
      <c r="B127" s="182" t="str">
        <f ca="1">IF(LEN(A127)=0,"",INDEX('Smelter Look-up'!$A:$A,MATCH($A127,'Smelter Look-up'!$E:$E,0)))</f>
        <v>Tin</v>
      </c>
      <c r="C127" s="186" t="str">
        <f ca="1">IF(LEN(A127)=0,"",INDEX('Smelter Look-up'!$C:$C,MATCH($A127,'Smelter Look-up'!$E:$E,0)))</f>
        <v>Yunnan Chengfeng Non-ferrous Metals Co., Ltd.</v>
      </c>
      <c r="D127" s="230"/>
      <c r="E127" s="182" t="str">
        <f ca="1">IF(ISERROR($V127),"",OFFSET('Smelter Look-up'!$D$4,$V127-4,0)&amp;"")</f>
        <v>CHINA</v>
      </c>
      <c r="F127" s="182" t="str">
        <f ca="1">IF(ISERROR($V127),"",OFFSET('Smelter Look-up'!$E$4,$V127-4,0))</f>
        <v>CID002158</v>
      </c>
      <c r="G127" s="182" t="str">
        <f ca="1">IF(C127=$X$4,IF(ISERROR($V127),"Enter smelter details","RMI"),IF(ISERROR($V127),"",OFFSET('Smelter Look-up'!$F$4,$V127-4,0)))</f>
        <v>RMI</v>
      </c>
      <c r="H127" s="183">
        <f ca="1">IF(ISERROR($V127),"",OFFSET('Smelter Look-up'!$G$4,$V127-4,0))</f>
        <v>0</v>
      </c>
      <c r="I127" s="184" t="str">
        <f ca="1">IF(ISERROR($V127),"",OFFSET('Smelter Look-up'!$H$4,$V127-4,0))</f>
        <v>Gejiu</v>
      </c>
      <c r="J127" s="184" t="str">
        <f ca="1">IF(ISERROR($V127),"",OFFSET('Smelter Look-up'!$I$4,$V127-4,0))</f>
        <v>Yunnan Sheng</v>
      </c>
      <c r="K127" s="224"/>
      <c r="L127" s="224"/>
      <c r="M127" s="224"/>
      <c r="N127" s="224"/>
      <c r="O127" s="224"/>
      <c r="P127" s="185"/>
      <c r="Q127" s="225"/>
      <c r="R127" s="182" t="str">
        <f ca="1">IF(ISERROR($V127),"",OFFSET('Smelter Look-up'!$C$4,$V127-4,0)&amp;"")</f>
        <v>Yunnan Chengfeng Non-ferrous Metals Co., Ltd.</v>
      </c>
      <c r="S127" s="181" t="str">
        <f t="shared" ca="1" si="14"/>
        <v>CN</v>
      </c>
      <c r="T127" s="181" t="str">
        <f ca="1">IF(B127="","",IF(ISERROR(MATCH($J127,SorP!$B$1:$B$6226,0)),"",INDIRECT("'SorP'!$A$"&amp;MATCH($S127&amp;$J127,SorP!C:C,0))))</f>
        <v>CN-YN</v>
      </c>
      <c r="U127" s="201"/>
      <c r="V127" s="226">
        <f ca="1">IF(C127="",NA(),IF(OR(C127="Smelter not listed",C127="Smelter not yet identified"),MATCH($B127&amp;$D127,'Smelter Look-up'!$J:$J,0),MATCH($B127&amp;$C127,'Smelter Look-up'!$J:$J,0)))</f>
        <v>565</v>
      </c>
      <c r="X127" s="227">
        <f t="shared" ca="1" si="15"/>
        <v>0</v>
      </c>
      <c r="AB127" s="228" t="str">
        <f t="shared" ca="1" si="16"/>
        <v>TinYunnan Chengfeng Non-ferrous Metals Co., Ltd.</v>
      </c>
    </row>
    <row r="128" spans="1:28" s="227" customFormat="1" ht="20.25">
      <c r="A128" s="181" t="s">
        <v>782</v>
      </c>
      <c r="B128" s="182" t="str">
        <f ca="1">IF(LEN(A128)=0,"",INDEX('Smelter Look-up'!$A:$A,MATCH($A128,'Smelter Look-up'!$E:$E,0)))</f>
        <v>Tin</v>
      </c>
      <c r="C128" s="186" t="str">
        <f ca="1">IF(LEN(A128)=0,"",INDEX('Smelter Look-up'!$C:$C,MATCH($A128,'Smelter Look-up'!$E:$E,0)))</f>
        <v>Tin Smelting Branch of Yunnan Tin Co., Ltd.</v>
      </c>
      <c r="D128" s="230"/>
      <c r="E128" s="182" t="str">
        <f ca="1">IF(ISERROR($V128),"",OFFSET('Smelter Look-up'!$D$4,$V128-4,0)&amp;"")</f>
        <v>CHINA</v>
      </c>
      <c r="F128" s="182" t="str">
        <f ca="1">IF(ISERROR($V128),"",OFFSET('Smelter Look-up'!$E$4,$V128-4,0))</f>
        <v>CID002180</v>
      </c>
      <c r="G128" s="182" t="str">
        <f ca="1">IF(C128=$X$4,IF(ISERROR($V128),"Enter smelter details","RMI"),IF(ISERROR($V128),"",OFFSET('Smelter Look-up'!$F$4,$V128-4,0)))</f>
        <v>RMI</v>
      </c>
      <c r="H128" s="183">
        <f ca="1">IF(ISERROR($V128),"",OFFSET('Smelter Look-up'!$G$4,$V128-4,0))</f>
        <v>0</v>
      </c>
      <c r="I128" s="184" t="str">
        <f ca="1">IF(ISERROR($V128),"",OFFSET('Smelter Look-up'!$H$4,$V128-4,0))</f>
        <v>Gejiu</v>
      </c>
      <c r="J128" s="184" t="str">
        <f ca="1">IF(ISERROR($V128),"",OFFSET('Smelter Look-up'!$I$4,$V128-4,0))</f>
        <v>Yunnan Sheng</v>
      </c>
      <c r="K128" s="224"/>
      <c r="L128" s="224"/>
      <c r="M128" s="224"/>
      <c r="N128" s="224"/>
      <c r="O128" s="224"/>
      <c r="P128" s="185"/>
      <c r="Q128" s="225"/>
      <c r="R128" s="182" t="str">
        <f ca="1">IF(ISERROR($V128),"",OFFSET('Smelter Look-up'!$C$4,$V128-4,0)&amp;"")</f>
        <v>Tin Smelting Branch of Yunnan Tin Co., Ltd.</v>
      </c>
      <c r="S128" s="181" t="str">
        <f t="shared" ca="1" si="14"/>
        <v>CN</v>
      </c>
      <c r="T128" s="181" t="str">
        <f ca="1">IF(B128="","",IF(ISERROR(MATCH($J128,SorP!$B$1:$B$6226,0)),"",INDIRECT("'SorP'!$A$"&amp;MATCH($S128&amp;$J128,SorP!C:C,0))))</f>
        <v>CN-YN</v>
      </c>
      <c r="U128" s="201"/>
      <c r="V128" s="226">
        <f ca="1">IF(C128="",NA(),IF(OR(C128="Smelter not listed",C128="Smelter not yet identified"),MATCH($B128&amp;$D128,'Smelter Look-up'!$J:$J,0),MATCH($B128&amp;$C128,'Smelter Look-up'!$J:$J,0)))</f>
        <v>550</v>
      </c>
      <c r="X128" s="227">
        <f t="shared" ca="1" si="15"/>
        <v>0</v>
      </c>
      <c r="AB128" s="228" t="str">
        <f t="shared" ca="1" si="16"/>
        <v>TinTin Smelting Branch of Yunnan Tin Co., Ltd.</v>
      </c>
    </row>
    <row r="129" spans="1:28" s="227" customFormat="1" ht="20.25">
      <c r="A129" s="181" t="s">
        <v>15065</v>
      </c>
      <c r="B129" s="182" t="str">
        <f ca="1">IF(LEN(A129)=0,"",INDEX('Smelter Look-up'!$A:$A,MATCH($A129,'Smelter Look-up'!$E:$E,0)))</f>
        <v>Tin</v>
      </c>
      <c r="C129" s="186" t="str">
        <f ca="1">IF(LEN(A129)=0,"",INDEX('Smelter Look-up'!$C:$C,MATCH($A129,'Smelter Look-up'!$E:$E,0)))</f>
        <v>CV Venus Inti Perkasa</v>
      </c>
      <c r="D129" s="230"/>
      <c r="E129" s="182" t="str">
        <f ca="1">IF(ISERROR($V129),"",OFFSET('Smelter Look-up'!$D$4,$V129-4,0)&amp;"")</f>
        <v>INDONESIA</v>
      </c>
      <c r="F129" s="182" t="str">
        <f ca="1">IF(ISERROR($V129),"",OFFSET('Smelter Look-up'!$E$4,$V129-4,0))</f>
        <v>CID002455</v>
      </c>
      <c r="G129" s="182" t="str">
        <f ca="1">IF(C129=$X$4,IF(ISERROR($V129),"Enter smelter details","RMI"),IF(ISERROR($V129),"",OFFSET('Smelter Look-up'!$F$4,$V129-4,0)))</f>
        <v>RMI</v>
      </c>
      <c r="H129" s="183">
        <f ca="1">IF(ISERROR($V129),"",OFFSET('Smelter Look-up'!$G$4,$V129-4,0))</f>
        <v>0</v>
      </c>
      <c r="I129" s="184" t="str">
        <f ca="1">IF(ISERROR($V129),"",OFFSET('Smelter Look-up'!$H$4,$V129-4,0))</f>
        <v>Pangkal Pinang</v>
      </c>
      <c r="J129" s="184" t="str">
        <f ca="1">IF(ISERROR($V129),"",OFFSET('Smelter Look-up'!$I$4,$V129-4,0))</f>
        <v>Kepulauan Bangka Belitung</v>
      </c>
      <c r="K129" s="224"/>
      <c r="L129" s="224"/>
      <c r="M129" s="224"/>
      <c r="N129" s="224"/>
      <c r="O129" s="224"/>
      <c r="P129" s="185"/>
      <c r="Q129" s="225"/>
      <c r="R129" s="182" t="str">
        <f ca="1">IF(ISERROR($V129),"",OFFSET('Smelter Look-up'!$C$4,$V129-4,0)&amp;"")</f>
        <v>CV Venus Inti Perkasa</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427</v>
      </c>
      <c r="X129" s="227">
        <f t="shared" ca="1" si="15"/>
        <v>0</v>
      </c>
      <c r="AB129" s="228" t="str">
        <f t="shared" ca="1" si="16"/>
        <v>TinCV Venus Inti Perkasa</v>
      </c>
    </row>
    <row r="130" spans="1:28" s="227" customFormat="1" ht="20.25">
      <c r="A130" s="181" t="s">
        <v>136</v>
      </c>
      <c r="B130" s="182" t="str">
        <f ca="1">IF(LEN(A130)=0,"",INDEX('Smelter Look-up'!$A:$A,MATCH($A130,'Smelter Look-up'!$E:$E,0)))</f>
        <v>Tin</v>
      </c>
      <c r="C130" s="186" t="str">
        <f ca="1">IF(LEN(A130)=0,"",INDEX('Smelter Look-up'!$C:$C,MATCH($A130,'Smelter Look-up'!$E:$E,0)))</f>
        <v>Magnu's Minerais Metais e Ligas Ltda.</v>
      </c>
      <c r="D130" s="230"/>
      <c r="E130" s="182" t="str">
        <f ca="1">IF(ISERROR($V130),"",OFFSET('Smelter Look-up'!$D$4,$V130-4,0)&amp;"")</f>
        <v>BRAZIL</v>
      </c>
      <c r="F130" s="182" t="str">
        <f ca="1">IF(ISERROR($V130),"",OFFSET('Smelter Look-up'!$E$4,$V130-4,0))</f>
        <v>CID002468</v>
      </c>
      <c r="G130" s="182" t="str">
        <f ca="1">IF(C130=$X$4,IF(ISERROR($V130),"Enter smelter details","RMI"),IF(ISERROR($V130),"",OFFSET('Smelter Look-up'!$F$4,$V130-4,0)))</f>
        <v>RMI</v>
      </c>
      <c r="H130" s="183">
        <f ca="1">IF(ISERROR($V130),"",OFFSET('Smelter Look-up'!$G$4,$V130-4,0))</f>
        <v>0</v>
      </c>
      <c r="I130" s="184" t="str">
        <f ca="1">IF(ISERROR($V130),"",OFFSET('Smelter Look-up'!$H$4,$V130-4,0))</f>
        <v>São João del Rei</v>
      </c>
      <c r="J130" s="184" t="str">
        <f ca="1">IF(ISERROR($V130),"",OFFSET('Smelter Look-up'!$I$4,$V130-4,0))</f>
        <v>Minas Gerais</v>
      </c>
      <c r="K130" s="224"/>
      <c r="L130" s="224"/>
      <c r="M130" s="224"/>
      <c r="N130" s="224"/>
      <c r="O130" s="224"/>
      <c r="P130" s="185"/>
      <c r="Q130" s="225"/>
      <c r="R130" s="182" t="str">
        <f ca="1">IF(ISERROR($V130),"",OFFSET('Smelter Look-up'!$C$4,$V130-4,0)&amp;"")</f>
        <v>Magnu's Minerais Metais e Ligas Ltda.</v>
      </c>
      <c r="S130" s="181" t="str">
        <f t="shared" ca="1" si="14"/>
        <v>BR</v>
      </c>
      <c r="T130" s="181" t="str">
        <f ca="1">IF(B130="","",IF(ISERROR(MATCH($J130,SorP!$B$1:$B$6226,0)),"",INDIRECT("'SorP'!$A$"&amp;MATCH($S130&amp;$J130,SorP!C:C,0))))</f>
        <v>BR-MG</v>
      </c>
      <c r="U130" s="201"/>
      <c r="V130" s="226">
        <f ca="1">IF(C130="",NA(),IF(OR(C130="Smelter not listed",C130="Smelter not yet identified"),MATCH($B130&amp;$D130,'Smelter Look-up'!$J:$J,0),MATCH($B130&amp;$C130,'Smelter Look-up'!$J:$J,0)))</f>
        <v>473</v>
      </c>
      <c r="X130" s="227">
        <f t="shared" ca="1" si="15"/>
        <v>0</v>
      </c>
      <c r="AB130" s="228" t="str">
        <f t="shared" ca="1" si="16"/>
        <v>TinMagnu's Minerais Metais e Ligas Ltda.</v>
      </c>
    </row>
    <row r="131" spans="1:28" s="227" customFormat="1" ht="20.25">
      <c r="A131" s="181" t="s">
        <v>1392</v>
      </c>
      <c r="B131" s="182" t="str">
        <f ca="1">IF(LEN(A131)=0,"",INDEX('Smelter Look-up'!$A:$A,MATCH($A131,'Smelter Look-up'!$E:$E,0)))</f>
        <v>Tin</v>
      </c>
      <c r="C131" s="186" t="str">
        <f ca="1">IF(LEN(A131)=0,"",INDEX('Smelter Look-up'!$C:$C,MATCH($A131,'Smelter Look-up'!$E:$E,0)))</f>
        <v>PT ATD Makmur Mandiri Jaya</v>
      </c>
      <c r="D131" s="230"/>
      <c r="E131" s="182" t="str">
        <f ca="1">IF(ISERROR($V131),"",OFFSET('Smelter Look-up'!$D$4,$V131-4,0)&amp;"")</f>
        <v>INDONESIA</v>
      </c>
      <c r="F131" s="182" t="str">
        <f ca="1">IF(ISERROR($V131),"",OFFSET('Smelter Look-up'!$E$4,$V131-4,0))</f>
        <v>CID002503</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c r="R131" s="182" t="str">
        <f ca="1">IF(ISERROR($V131),"",OFFSET('Smelter Look-up'!$C$4,$V131-4,0)&amp;"")</f>
        <v>PT ATD Makmur Mandiri Jaya</v>
      </c>
      <c r="S131" s="181" t="str">
        <f t="shared" ca="1" si="14"/>
        <v>ID</v>
      </c>
      <c r="T131" s="181" t="str">
        <f ca="1">IF(B131="","",IF(ISERROR(MATCH($J131,SorP!$B$1:$B$6226,0)),"",INDIRECT("'SorP'!$A$"&amp;MATCH($S131&amp;$J131,SorP!C:C,0))))</f>
        <v>ID-BB</v>
      </c>
      <c r="U131" s="201"/>
      <c r="V131" s="226">
        <f ca="1">IF(C131="",NA(),IF(OR(C131="Smelter not listed",C131="Smelter not yet identified"),MATCH($B131&amp;$D131,'Smelter Look-up'!$J:$J,0),MATCH($B131&amp;$C131,'Smelter Look-up'!$J:$J,0)))</f>
        <v>505</v>
      </c>
      <c r="X131" s="227">
        <f t="shared" ca="1" si="15"/>
        <v>0</v>
      </c>
      <c r="AB131" s="228" t="str">
        <f t="shared" ca="1" si="16"/>
        <v>TinPT ATD Makmur Mandiri Jaya</v>
      </c>
    </row>
    <row r="132" spans="1:28" s="227" customFormat="1" ht="20.25">
      <c r="A132" s="181" t="s">
        <v>1390</v>
      </c>
      <c r="B132" s="182" t="str">
        <f ca="1">IF(LEN(A132)=0,"",INDEX('Smelter Look-up'!$A:$A,MATCH($A132,'Smelter Look-up'!$E:$E,0)))</f>
        <v>Tin</v>
      </c>
      <c r="C132" s="186" t="str">
        <f ca="1">IF(LEN(A132)=0,"",INDEX('Smelter Look-up'!$C:$C,MATCH($A132,'Smelter Look-up'!$E:$E,0)))</f>
        <v>O.M. Manufacturing Philippines, Inc.</v>
      </c>
      <c r="D132" s="230"/>
      <c r="E132" s="182" t="str">
        <f ca="1">IF(ISERROR($V132),"",OFFSET('Smelter Look-up'!$D$4,$V132-4,0)&amp;"")</f>
        <v>PHILIPPINES</v>
      </c>
      <c r="F132" s="182" t="str">
        <f ca="1">IF(ISERROR($V132),"",OFFSET('Smelter Look-up'!$E$4,$V132-4,0))</f>
        <v>CID002517</v>
      </c>
      <c r="G132" s="182" t="str">
        <f ca="1">IF(C132=$X$4,IF(ISERROR($V132),"Enter smelter details","RMI"),IF(ISERROR($V132),"",OFFSET('Smelter Look-up'!$F$4,$V132-4,0)))</f>
        <v>RMI</v>
      </c>
      <c r="H132" s="183">
        <f ca="1">IF(ISERROR($V132),"",OFFSET('Smelter Look-up'!$G$4,$V132-4,0))</f>
        <v>0</v>
      </c>
      <c r="I132" s="184" t="str">
        <f ca="1">IF(ISERROR($V132),"",OFFSET('Smelter Look-up'!$H$4,$V132-4,0))</f>
        <v>Rosario</v>
      </c>
      <c r="J132" s="184" t="str">
        <f ca="1">IF(ISERROR($V132),"",OFFSET('Smelter Look-up'!$I$4,$V132-4,0))</f>
        <v>Cavite</v>
      </c>
      <c r="K132" s="224"/>
      <c r="L132" s="224"/>
      <c r="M132" s="224"/>
      <c r="N132" s="224"/>
      <c r="O132" s="224"/>
      <c r="P132" s="185"/>
      <c r="Q132" s="225"/>
      <c r="R132" s="182" t="str">
        <f ca="1">IF(ISERROR($V132),"",OFFSET('Smelter Look-up'!$C$4,$V132-4,0)&amp;"")</f>
        <v>O.M. Manufacturing Philippines, Inc.</v>
      </c>
      <c r="S132" s="181" t="str">
        <f t="shared" ca="1" si="14"/>
        <v>PH</v>
      </c>
      <c r="T132" s="181" t="str">
        <f ca="1">IF(B132="","",IF(ISERROR(MATCH($J132,SorP!$B$1:$B$6226,0)),"",INDIRECT("'SorP'!$A$"&amp;MATCH($S132&amp;$J132,SorP!C:C,0))))</f>
        <v>PH-CAV</v>
      </c>
      <c r="U132" s="201"/>
      <c r="V132" s="226">
        <f ca="1">IF(C132="",NA(),IF(OR(C132="Smelter not listed",C132="Smelter not yet identified"),MATCH($B132&amp;$D132,'Smelter Look-up'!$J:$J,0),MATCH($B132&amp;$C132,'Smelter Look-up'!$J:$J,0)))</f>
        <v>497</v>
      </c>
      <c r="X132" s="227">
        <f t="shared" ca="1" si="15"/>
        <v>0</v>
      </c>
      <c r="AB132" s="228" t="str">
        <f t="shared" ca="1" si="16"/>
        <v>TinO.M. Manufacturing Philippines, Inc.</v>
      </c>
    </row>
    <row r="133" spans="1:28" s="227" customFormat="1" ht="20.25">
      <c r="A133" s="181" t="s">
        <v>15499</v>
      </c>
      <c r="B133" s="182" t="str">
        <f ca="1">IF(LEN(A133)=0,"",INDEX('Smelter Look-up'!$A:$A,MATCH($A133,'Smelter Look-up'!$E:$E,0)))</f>
        <v>Tin</v>
      </c>
      <c r="C133" s="186" t="str">
        <f ca="1">IF(LEN(A133)=0,"",INDEX('Smelter Look-up'!$C:$C,MATCH($A133,'Smelter Look-up'!$E:$E,0)))</f>
        <v>CV Ayi Jaya</v>
      </c>
      <c r="D133" s="230"/>
      <c r="E133" s="182" t="str">
        <f ca="1">IF(ISERROR($V133),"",OFFSET('Smelter Look-up'!$D$4,$V133-4,0)&amp;"")</f>
        <v>INDONESIA</v>
      </c>
      <c r="F133" s="182" t="str">
        <f ca="1">IF(ISERROR($V133),"",OFFSET('Smelter Look-up'!$E$4,$V133-4,0))</f>
        <v>CID002570</v>
      </c>
      <c r="G133" s="182" t="str">
        <f ca="1">IF(C133=$X$4,IF(ISERROR($V133),"Enter smelter details","RMI"),IF(ISERROR($V133),"",OFFSET('Smelter Look-up'!$F$4,$V133-4,0)))</f>
        <v>RMI</v>
      </c>
      <c r="H133" s="183">
        <f ca="1">IF(ISERROR($V133),"",OFFSET('Smelter Look-up'!$G$4,$V133-4,0))</f>
        <v>0</v>
      </c>
      <c r="I133" s="184" t="str">
        <f ca="1">IF(ISERROR($V133),"",OFFSET('Smelter Look-up'!$H$4,$V133-4,0))</f>
        <v>Sungailiat</v>
      </c>
      <c r="J133" s="184" t="str">
        <f ca="1">IF(ISERROR($V133),"",OFFSET('Smelter Look-up'!$I$4,$V133-4,0))</f>
        <v>Kepulauan Bangka Belitung</v>
      </c>
      <c r="K133" s="224"/>
      <c r="L133" s="224"/>
      <c r="M133" s="224"/>
      <c r="N133" s="224"/>
      <c r="O133" s="224"/>
      <c r="P133" s="185"/>
      <c r="Q133" s="225"/>
      <c r="R133" s="182" t="str">
        <f ca="1">IF(ISERROR($V133),"",OFFSET('Smelter Look-up'!$C$4,$V133-4,0)&amp;"")</f>
        <v>CV Ayi Jaya</v>
      </c>
      <c r="S133" s="181" t="str">
        <f t="shared" ref="S133" ca="1" si="17">IF(B133="","",IF(ISERROR(MATCH($E133,CL,0)),"Unknown",INDIRECT("'C'!$A$"&amp;MATCH($E133,CL,0)+1)))</f>
        <v>ID</v>
      </c>
      <c r="T133" s="181" t="str">
        <f ca="1">IF(B133="","",IF(ISERROR(MATCH($J133,SorP!$B$1:$B$6226,0)),"",INDIRECT("'SorP'!$A$"&amp;MATCH($S133&amp;$J133,SorP!C:C,0))))</f>
        <v>ID-BB</v>
      </c>
      <c r="U133" s="201"/>
      <c r="V133" s="226">
        <f ca="1">IF(C133="",NA(),IF(OR(C133="Smelter not listed",C133="Smelter not yet identified"),MATCH($B133&amp;$D133,'Smelter Look-up'!$J:$J,0),MATCH($B133&amp;$C133,'Smelter Look-up'!$J:$J,0)))</f>
        <v>423</v>
      </c>
      <c r="X133" s="227">
        <f t="shared" ref="X133" ca="1" si="18">IF(AND(C133="Smelter not listed",OR(LEN(D133)=0,LEN(E133)=0)),1,0)</f>
        <v>0</v>
      </c>
      <c r="AB133" s="228" t="str">
        <f t="shared" ref="AB133" ca="1" si="19">B133&amp;C133</f>
        <v>TinCV Ayi Jaya</v>
      </c>
    </row>
    <row r="134" spans="1:28" s="227" customFormat="1" ht="20.25">
      <c r="A134" s="181" t="s">
        <v>15807</v>
      </c>
      <c r="B134" s="182" t="str">
        <f ca="1">IF(LEN(A134)=0,"",INDEX('Smelter Look-up'!$A:$A,MATCH($A134,'Smelter Look-up'!$E:$E,0)))</f>
        <v>Tin</v>
      </c>
      <c r="C134" s="186" t="str">
        <f ca="1">IF(LEN(A134)=0,"",INDEX('Smelter Look-up'!$C:$C,MATCH($A134,'Smelter Look-up'!$E:$E,0)))</f>
        <v>PT Rajehan Ariq</v>
      </c>
      <c r="D134" s="230"/>
      <c r="E134" s="182" t="str">
        <f ca="1">IF(ISERROR($V134),"",OFFSET('Smelter Look-up'!$D$4,$V134-4,0)&amp;"")</f>
        <v>INDONESIA</v>
      </c>
      <c r="F134" s="182" t="str">
        <f ca="1">IF(ISERROR($V134),"",OFFSET('Smelter Look-up'!$E$4,$V134-4,0))</f>
        <v>CID002593</v>
      </c>
      <c r="G134" s="182" t="str">
        <f ca="1">IF(C134=$X$4,IF(ISERROR($V134),"Enter smelter details","RMI"),IF(ISERROR($V134),"",OFFSET('Smelter Look-up'!$F$4,$V134-4,0)))</f>
        <v>RMI</v>
      </c>
      <c r="H134" s="183">
        <f ca="1">IF(ISERROR($V134),"",OFFSET('Smelter Look-up'!$G$4,$V134-4,0))</f>
        <v>0</v>
      </c>
      <c r="I134" s="184" t="str">
        <f ca="1">IF(ISERROR($V134),"",OFFSET('Smelter Look-up'!$H$4,$V134-4,0))</f>
        <v>Pangkal Pinang</v>
      </c>
      <c r="J134" s="184" t="str">
        <f ca="1">IF(ISERROR($V134),"",OFFSET('Smelter Look-up'!$I$4,$V134-4,0))</f>
        <v>Kepulauan Bangka Belitung</v>
      </c>
      <c r="K134" s="224"/>
      <c r="L134" s="224"/>
      <c r="M134" s="224"/>
      <c r="N134" s="224"/>
      <c r="O134" s="224"/>
      <c r="P134" s="185"/>
      <c r="Q134" s="225"/>
      <c r="R134" s="182" t="str">
        <f ca="1">IF(ISERROR($V134),"",OFFSET('Smelter Look-up'!$C$4,$V134-4,0)&amp;"")</f>
        <v>PT Rajehan Ariq</v>
      </c>
      <c r="S134" s="181" t="str">
        <f t="shared" ref="S134:S165" ca="1" si="20">IF(B134="","",IF(ISERROR(MATCH($E134,CL,0)),"Unknown",INDIRECT("'C'!$A$"&amp;MATCH($E134,CL,0)+1)))</f>
        <v>ID</v>
      </c>
      <c r="T134" s="181" t="str">
        <f ca="1">IF(B134="","",IF(ISERROR(MATCH($J134,SorP!$B$1:$B$6226,0)),"",INDIRECT("'SorP'!$A$"&amp;MATCH($S134&amp;$J134,SorP!C:C,0))))</f>
        <v>ID-BB</v>
      </c>
      <c r="U134" s="201"/>
      <c r="V134" s="226">
        <f ca="1">IF(C134="",NA(),IF(OR(C134="Smelter not listed",C134="Smelter not yet identified"),MATCH($B134&amp;$D134,'Smelter Look-up'!$J:$J,0),MATCH($B134&amp;$C134,'Smelter Look-up'!$J:$J,0)))</f>
        <v>525</v>
      </c>
      <c r="X134" s="227">
        <f t="shared" ref="X134:X165" ca="1" si="21">IF(AND(C134="Smelter not listed",OR(LEN(D134)=0,LEN(E134)=0)),1,0)</f>
        <v>0</v>
      </c>
      <c r="AB134" s="228" t="str">
        <f t="shared" ref="AB134:AB165" ca="1" si="22">B134&amp;C134</f>
        <v>TinPT Rajehan Ariq</v>
      </c>
    </row>
    <row r="135" spans="1:28" s="227" customFormat="1" ht="20.25">
      <c r="A135" s="181" t="s">
        <v>15448</v>
      </c>
      <c r="B135" s="182" t="str">
        <f ca="1">IF(LEN(A135)=0,"",INDEX('Smelter Look-up'!$A:$A,MATCH($A135,'Smelter Look-up'!$E:$E,0)))</f>
        <v>Tin</v>
      </c>
      <c r="C135" s="186" t="str">
        <f ca="1">IF(LEN(A135)=0,"",INDEX('Smelter Look-up'!$C:$C,MATCH($A135,'Smelter Look-up'!$E:$E,0)))</f>
        <v>PT Cipta Persada Mulia</v>
      </c>
      <c r="D135" s="230"/>
      <c r="E135" s="182" t="str">
        <f ca="1">IF(ISERROR($V135),"",OFFSET('Smelter Look-up'!$D$4,$V135-4,0)&amp;"")</f>
        <v>INDONESIA</v>
      </c>
      <c r="F135" s="182" t="str">
        <f ca="1">IF(ISERROR($V135),"",OFFSET('Smelter Look-up'!$E$4,$V135-4,0))</f>
        <v>CID002696</v>
      </c>
      <c r="G135" s="182" t="str">
        <f ca="1">IF(C135=$X$4,IF(ISERROR($V135),"Enter smelter details","RMI"),IF(ISERROR($V135),"",OFFSET('Smelter Look-up'!$F$4,$V135-4,0)))</f>
        <v>RMI</v>
      </c>
      <c r="H135" s="183">
        <f ca="1">IF(ISERROR($V135),"",OFFSET('Smelter Look-up'!$G$4,$V135-4,0))</f>
        <v>0</v>
      </c>
      <c r="I135" s="184" t="str">
        <f ca="1">IF(ISERROR($V135),"",OFFSET('Smelter Look-up'!$H$4,$V135-4,0))</f>
        <v>Batam</v>
      </c>
      <c r="J135" s="184" t="str">
        <f ca="1">IF(ISERROR($V135),"",OFFSET('Smelter Look-up'!$I$4,$V135-4,0))</f>
        <v>Kepulauan Riau</v>
      </c>
      <c r="K135" s="224"/>
      <c r="L135" s="224"/>
      <c r="M135" s="224"/>
      <c r="N135" s="224"/>
      <c r="O135" s="224"/>
      <c r="P135" s="185"/>
      <c r="Q135" s="225"/>
      <c r="R135" s="182" t="str">
        <f ca="1">IF(ISERROR($V135),"",OFFSET('Smelter Look-up'!$C$4,$V135-4,0)&amp;"")</f>
        <v>PT Cipta Persada Mulia</v>
      </c>
      <c r="S135" s="181" t="str">
        <f t="shared" ca="1" si="20"/>
        <v>ID</v>
      </c>
      <c r="T135" s="181" t="str">
        <f ca="1">IF(B135="","",IF(ISERROR(MATCH($J135,SorP!$B$1:$B$6226,0)),"",INDIRECT("'SorP'!$A$"&amp;MATCH($S135&amp;$J135,SorP!C:C,0))))</f>
        <v>ID-KR</v>
      </c>
      <c r="U135" s="201"/>
      <c r="V135" s="226">
        <f ca="1">IF(C135="",NA(),IF(OR(C135="Smelter not listed",C135="Smelter not yet identified"),MATCH($B135&amp;$D135,'Smelter Look-up'!$J:$J,0),MATCH($B135&amp;$C135,'Smelter Look-up'!$J:$J,0)))</f>
        <v>513</v>
      </c>
      <c r="X135" s="227">
        <f t="shared" ca="1" si="21"/>
        <v>0</v>
      </c>
      <c r="AB135" s="228" t="str">
        <f t="shared" ca="1" si="22"/>
        <v>TinPT Cipta Persada Mulia</v>
      </c>
    </row>
    <row r="136" spans="1:28" s="227" customFormat="1" ht="20.25">
      <c r="A136" s="181" t="s">
        <v>1800</v>
      </c>
      <c r="B136" s="182" t="str">
        <f ca="1">IF(LEN(A136)=0,"",INDEX('Smelter Look-up'!$A:$A,MATCH($A136,'Smelter Look-up'!$E:$E,0)))</f>
        <v>Tin</v>
      </c>
      <c r="C136" s="186" t="str">
        <f ca="1">IF(LEN(A136)=0,"",INDEX('Smelter Look-up'!$C:$C,MATCH($A136,'Smelter Look-up'!$E:$E,0)))</f>
        <v>Resind Industria e Comercio Ltda.</v>
      </c>
      <c r="D136" s="230"/>
      <c r="E136" s="182" t="str">
        <f ca="1">IF(ISERROR($V136),"",OFFSET('Smelter Look-up'!$D$4,$V136-4,0)&amp;"")</f>
        <v>BRAZIL</v>
      </c>
      <c r="F136" s="182" t="str">
        <f ca="1">IF(ISERROR($V136),"",OFFSET('Smelter Look-up'!$E$4,$V136-4,0))</f>
        <v>CID002706</v>
      </c>
      <c r="G136" s="182" t="str">
        <f ca="1">IF(C136=$X$4,IF(ISERROR($V136),"Enter smelter details","RMI"),IF(ISERROR($V136),"",OFFSET('Smelter Look-up'!$F$4,$V136-4,0)))</f>
        <v>RMI</v>
      </c>
      <c r="H136" s="183">
        <f ca="1">IF(ISERROR($V136),"",OFFSET('Smelter Look-up'!$G$4,$V136-4,0))</f>
        <v>0</v>
      </c>
      <c r="I136" s="184" t="str">
        <f ca="1">IF(ISERROR($V136),"",OFFSET('Smelter Look-up'!$H$4,$V136-4,0))</f>
        <v>São João del Rei</v>
      </c>
      <c r="J136" s="184" t="str">
        <f ca="1">IF(ISERROR($V136),"",OFFSET('Smelter Look-up'!$I$4,$V136-4,0))</f>
        <v>Minas gerais</v>
      </c>
      <c r="K136" s="224"/>
      <c r="L136" s="224"/>
      <c r="M136" s="224"/>
      <c r="N136" s="224"/>
      <c r="O136" s="224"/>
      <c r="P136" s="185"/>
      <c r="Q136" s="225"/>
      <c r="R136" s="182" t="str">
        <f ca="1">IF(ISERROR($V136),"",OFFSET('Smelter Look-up'!$C$4,$V136-4,0)&amp;"")</f>
        <v>Resind Industria e Comercio Ltda.</v>
      </c>
      <c r="S136" s="181" t="str">
        <f t="shared" ca="1" si="20"/>
        <v>BR</v>
      </c>
      <c r="T136" s="181" t="str">
        <f ca="1">IF(B136="","",IF(ISERROR(MATCH($J136,SorP!$B$1:$B$6226,0)),"",INDIRECT("'SorP'!$A$"&amp;MATCH($S136&amp;$J136,SorP!C:C,0))))</f>
        <v>BR-MG</v>
      </c>
      <c r="U136" s="201"/>
      <c r="V136" s="226">
        <f ca="1">IF(C136="",NA(),IF(OR(C136="Smelter not listed",C136="Smelter not yet identified"),MATCH($B136&amp;$D136,'Smelter Look-up'!$J:$J,0),MATCH($B136&amp;$C136,'Smelter Look-up'!$J:$J,0)))</f>
        <v>538</v>
      </c>
      <c r="X136" s="227">
        <f t="shared" ca="1" si="21"/>
        <v>0</v>
      </c>
      <c r="AB136" s="228" t="str">
        <f t="shared" ca="1" si="22"/>
        <v>TinResind Industria e Comercio Ltda.</v>
      </c>
    </row>
    <row r="137" spans="1:28" s="227" customFormat="1" ht="20.25">
      <c r="A137" s="181" t="s">
        <v>2514</v>
      </c>
      <c r="B137" s="182" t="str">
        <f ca="1">IF(LEN(A137)=0,"",INDEX('Smelter Look-up'!$A:$A,MATCH($A137,'Smelter Look-up'!$E:$E,0)))</f>
        <v>Tin</v>
      </c>
      <c r="C137" s="186" t="str">
        <f ca="1">IF(LEN(A137)=0,"",INDEX('Smelter Look-up'!$C:$C,MATCH($A137,'Smelter Look-up'!$E:$E,0)))</f>
        <v>Super Ligas</v>
      </c>
      <c r="D137" s="230"/>
      <c r="E137" s="182" t="str">
        <f ca="1">IF(ISERROR($V137),"",OFFSET('Smelter Look-up'!$D$4,$V137-4,0)&amp;"")</f>
        <v>BRAZIL</v>
      </c>
      <c r="F137" s="182" t="str">
        <f ca="1">IF(ISERROR($V137),"",OFFSET('Smelter Look-up'!$E$4,$V137-4,0))</f>
        <v>CID002756</v>
      </c>
      <c r="G137" s="182" t="str">
        <f ca="1">IF(C137=$X$4,IF(ISERROR($V137),"Enter smelter details","RMI"),IF(ISERROR($V137),"",OFFSET('Smelter Look-up'!$F$4,$V137-4,0)))</f>
        <v>RMI</v>
      </c>
      <c r="H137" s="183">
        <f ca="1">IF(ISERROR($V137),"",OFFSET('Smelter Look-up'!$G$4,$V137-4,0))</f>
        <v>0</v>
      </c>
      <c r="I137" s="184" t="str">
        <f ca="1">IF(ISERROR($V137),"",OFFSET('Smelter Look-up'!$H$4,$V137-4,0))</f>
        <v>Piracicaba</v>
      </c>
      <c r="J137" s="184" t="str">
        <f ca="1">IF(ISERROR($V137),"",OFFSET('Smelter Look-up'!$I$4,$V137-4,0))</f>
        <v>São Paulo</v>
      </c>
      <c r="K137" s="224"/>
      <c r="L137" s="224"/>
      <c r="M137" s="224"/>
      <c r="N137" s="224"/>
      <c r="O137" s="224"/>
      <c r="P137" s="185"/>
      <c r="Q137" s="225"/>
      <c r="R137" s="182" t="str">
        <f ca="1">IF(ISERROR($V137),"",OFFSET('Smelter Look-up'!$C$4,$V137-4,0)&amp;"")</f>
        <v>Super Ligas</v>
      </c>
      <c r="S137" s="181" t="str">
        <f t="shared" ca="1" si="20"/>
        <v>BR</v>
      </c>
      <c r="T137" s="181" t="str">
        <f ca="1">IF(B137="","",IF(ISERROR(MATCH($J137,SorP!$B$1:$B$6226,0)),"",INDIRECT("'SorP'!$A$"&amp;MATCH($S137&amp;$J137,SorP!C:C,0))))</f>
        <v>BR-SP</v>
      </c>
      <c r="U137" s="201"/>
      <c r="V137" s="226">
        <f ca="1">IF(C137="",NA(),IF(OR(C137="Smelter not listed",C137="Smelter not yet identified"),MATCH($B137&amp;$D137,'Smelter Look-up'!$J:$J,0),MATCH($B137&amp;$C137,'Smelter Look-up'!$J:$J,0)))</f>
        <v>543</v>
      </c>
      <c r="X137" s="227">
        <f t="shared" ca="1" si="21"/>
        <v>0</v>
      </c>
      <c r="AB137" s="228" t="str">
        <f t="shared" ca="1" si="22"/>
        <v>TinSuper Ligas</v>
      </c>
    </row>
    <row r="138" spans="1:28" s="227" customFormat="1" ht="20.25">
      <c r="A138" s="181" t="s">
        <v>1801</v>
      </c>
      <c r="B138" s="182" t="str">
        <f ca="1">IF(LEN(A138)=0,"",INDEX('Smelter Look-up'!$A:$A,MATCH($A138,'Smelter Look-up'!$E:$E,0)))</f>
        <v>Tin</v>
      </c>
      <c r="C138" s="186" t="str">
        <f ca="1">IF(LEN(A138)=0,"",INDEX('Smelter Look-up'!$C:$C,MATCH($A138,'Smelter Look-up'!$E:$E,0)))</f>
        <v>Aurubis Beerse</v>
      </c>
      <c r="D138" s="230"/>
      <c r="E138" s="182" t="str">
        <f ca="1">IF(ISERROR($V138),"",OFFSET('Smelter Look-up'!$D$4,$V138-4,0)&amp;"")</f>
        <v>BELGIUM</v>
      </c>
      <c r="F138" s="182" t="str">
        <f ca="1">IF(ISERROR($V138),"",OFFSET('Smelter Look-up'!$E$4,$V138-4,0))</f>
        <v>CID002773</v>
      </c>
      <c r="G138" s="182" t="str">
        <f ca="1">IF(C138=$X$4,IF(ISERROR($V138),"Enter smelter details","RMI"),IF(ISERROR($V138),"",OFFSET('Smelter Look-up'!$F$4,$V138-4,0)))</f>
        <v>RMI</v>
      </c>
      <c r="H138" s="183">
        <f ca="1">IF(ISERROR($V138),"",OFFSET('Smelter Look-up'!$G$4,$V138-4,0))</f>
        <v>0</v>
      </c>
      <c r="I138" s="184" t="str">
        <f ca="1">IF(ISERROR($V138),"",OFFSET('Smelter Look-up'!$H$4,$V138-4,0))</f>
        <v>Beerse</v>
      </c>
      <c r="J138" s="184" t="str">
        <f ca="1">IF(ISERROR($V138),"",OFFSET('Smelter Look-up'!$I$4,$V138-4,0))</f>
        <v>Antwerpen</v>
      </c>
      <c r="K138" s="224"/>
      <c r="L138" s="224"/>
      <c r="M138" s="224"/>
      <c r="N138" s="224"/>
      <c r="O138" s="224"/>
      <c r="P138" s="185"/>
      <c r="Q138" s="225"/>
      <c r="R138" s="182" t="str">
        <f ca="1">IF(ISERROR($V138),"",OFFSET('Smelter Look-up'!$C$4,$V138-4,0)&amp;"")</f>
        <v>Aurubis Beerse</v>
      </c>
      <c r="S138" s="181" t="str">
        <f t="shared" ca="1" si="20"/>
        <v>BE</v>
      </c>
      <c r="T138" s="181" t="str">
        <f ca="1">IF(B138="","",IF(ISERROR(MATCH($J138,SorP!$B$1:$B$6226,0)),"",INDIRECT("'SorP'!$A$"&amp;MATCH($S138&amp;$J138,SorP!C:C,0))))</f>
        <v>BE-VAN</v>
      </c>
      <c r="U138" s="201"/>
      <c r="V138" s="226">
        <f ca="1">IF(C138="",NA(),IF(OR(C138="Smelter not listed",C138="Smelter not yet identified"),MATCH($B138&amp;$D138,'Smelter Look-up'!$J:$J,0),MATCH($B138&amp;$C138,'Smelter Look-up'!$J:$J,0)))</f>
        <v>405</v>
      </c>
      <c r="X138" s="227">
        <f t="shared" ca="1" si="21"/>
        <v>0</v>
      </c>
      <c r="AB138" s="228" t="str">
        <f t="shared" ca="1" si="22"/>
        <v>TinAurubis Beerse</v>
      </c>
    </row>
    <row r="139" spans="1:28" s="227" customFormat="1" ht="20.25">
      <c r="A139" s="181" t="s">
        <v>1803</v>
      </c>
      <c r="B139" s="182" t="str">
        <f ca="1">IF(LEN(A139)=0,"",INDEX('Smelter Look-up'!$A:$A,MATCH($A139,'Smelter Look-up'!$E:$E,0)))</f>
        <v>Tin</v>
      </c>
      <c r="C139" s="186" t="str">
        <f ca="1">IF(LEN(A139)=0,"",INDEX('Smelter Look-up'!$C:$C,MATCH($A139,'Smelter Look-up'!$E:$E,0)))</f>
        <v>Aurubis Berango</v>
      </c>
      <c r="D139" s="230"/>
      <c r="E139" s="182" t="str">
        <f ca="1">IF(ISERROR($V139),"",OFFSET('Smelter Look-up'!$D$4,$V139-4,0)&amp;"")</f>
        <v>SPAIN</v>
      </c>
      <c r="F139" s="182" t="str">
        <f ca="1">IF(ISERROR($V139),"",OFFSET('Smelter Look-up'!$E$4,$V139-4,0))</f>
        <v>CID002774</v>
      </c>
      <c r="G139" s="182" t="str">
        <f ca="1">IF(C139=$X$4,IF(ISERROR($V139),"Enter smelter details","RMI"),IF(ISERROR($V139),"",OFFSET('Smelter Look-up'!$F$4,$V139-4,0)))</f>
        <v>RMI</v>
      </c>
      <c r="H139" s="183">
        <f ca="1">IF(ISERROR($V139),"",OFFSET('Smelter Look-up'!$G$4,$V139-4,0))</f>
        <v>0</v>
      </c>
      <c r="I139" s="184" t="str">
        <f ca="1">IF(ISERROR($V139),"",OFFSET('Smelter Look-up'!$H$4,$V139-4,0))</f>
        <v>Berango</v>
      </c>
      <c r="J139" s="184" t="str">
        <f ca="1">IF(ISERROR($V139),"",OFFSET('Smelter Look-up'!$I$4,$V139-4,0))</f>
        <v>Bizkaia</v>
      </c>
      <c r="K139" s="224"/>
      <c r="L139" s="224"/>
      <c r="M139" s="224"/>
      <c r="N139" s="224"/>
      <c r="O139" s="224"/>
      <c r="P139" s="185"/>
      <c r="Q139" s="225"/>
      <c r="R139" s="182" t="str">
        <f ca="1">IF(ISERROR($V139),"",OFFSET('Smelter Look-up'!$C$4,$V139-4,0)&amp;"")</f>
        <v>Aurubis Berango</v>
      </c>
      <c r="S139" s="181" t="str">
        <f t="shared" ca="1" si="20"/>
        <v>ES</v>
      </c>
      <c r="T139" s="181" t="str">
        <f ca="1">IF(B139="","",IF(ISERROR(MATCH($J139,SorP!$B$1:$B$6226,0)),"",INDIRECT("'SorP'!$A$"&amp;MATCH($S139&amp;$J139,SorP!C:C,0))))</f>
        <v>ES-BI</v>
      </c>
      <c r="U139" s="201"/>
      <c r="V139" s="226">
        <f ca="1">IF(C139="",NA(),IF(OR(C139="Smelter not listed",C139="Smelter not yet identified"),MATCH($B139&amp;$D139,'Smelter Look-up'!$J:$J,0),MATCH($B139&amp;$C139,'Smelter Look-up'!$J:$J,0)))</f>
        <v>406</v>
      </c>
      <c r="X139" s="227">
        <f t="shared" ca="1" si="21"/>
        <v>0</v>
      </c>
      <c r="AB139" s="228" t="str">
        <f t="shared" ca="1" si="22"/>
        <v>TinAurubis Berango</v>
      </c>
    </row>
    <row r="140" spans="1:28" s="227" customFormat="1" ht="20.25">
      <c r="A140" s="181" t="s">
        <v>15507</v>
      </c>
      <c r="B140" s="182" t="str">
        <f ca="1">IF(LEN(A140)=0,"",INDEX('Smelter Look-up'!$A:$A,MATCH($A140,'Smelter Look-up'!$E:$E,0)))</f>
        <v>Tin</v>
      </c>
      <c r="C140" s="186" t="str">
        <f ca="1">IF(LEN(A140)=0,"",INDEX('Smelter Look-up'!$C:$C,MATCH($A140,'Smelter Look-up'!$E:$E,0)))</f>
        <v>PT Bangka Prima Tin</v>
      </c>
      <c r="D140" s="230"/>
      <c r="E140" s="182" t="str">
        <f ca="1">IF(ISERROR($V140),"",OFFSET('Smelter Look-up'!$D$4,$V140-4,0)&amp;"")</f>
        <v>INDONESIA</v>
      </c>
      <c r="F140" s="182" t="str">
        <f ca="1">IF(ISERROR($V140),"",OFFSET('Smelter Look-up'!$E$4,$V140-4,0))</f>
        <v>CID002776</v>
      </c>
      <c r="G140" s="182" t="str">
        <f ca="1">IF(C140=$X$4,IF(ISERROR($V140),"Enter smelter details","RMI"),IF(ISERROR($V140),"",OFFSET('Smelter Look-up'!$F$4,$V140-4,0)))</f>
        <v>RMI</v>
      </c>
      <c r="H140" s="183">
        <f ca="1">IF(ISERROR($V140),"",OFFSET('Smelter Look-up'!$G$4,$V140-4,0))</f>
        <v>0</v>
      </c>
      <c r="I140" s="184" t="str">
        <f ca="1">IF(ISERROR($V140),"",OFFSET('Smelter Look-up'!$H$4,$V140-4,0))</f>
        <v>Air Mesu</v>
      </c>
      <c r="J140" s="184" t="str">
        <f ca="1">IF(ISERROR($V140),"",OFFSET('Smelter Look-up'!$I$4,$V140-4,0))</f>
        <v>Kepulauan Bangka Belitung</v>
      </c>
      <c r="K140" s="224"/>
      <c r="L140" s="224"/>
      <c r="M140" s="224"/>
      <c r="N140" s="224"/>
      <c r="O140" s="224"/>
      <c r="P140" s="185"/>
      <c r="Q140" s="225"/>
      <c r="R140" s="182" t="str">
        <f ca="1">IF(ISERROR($V140),"",OFFSET('Smelter Look-up'!$C$4,$V140-4,0)&amp;"")</f>
        <v>PT Bangka Prima Tin</v>
      </c>
      <c r="S140" s="181" t="str">
        <f t="shared" ca="1" si="20"/>
        <v>ID</v>
      </c>
      <c r="T140" s="181" t="str">
        <f ca="1">IF(B140="","",IF(ISERROR(MATCH($J140,SorP!$B$1:$B$6226,0)),"",INDIRECT("'SorP'!$A$"&amp;MATCH($S140&amp;$J140,SorP!C:C,0))))</f>
        <v>ID-BB</v>
      </c>
      <c r="U140" s="201"/>
      <c r="V140" s="226">
        <f ca="1">IF(C140="",NA(),IF(OR(C140="Smelter not listed",C140="Smelter not yet identified"),MATCH($B140&amp;$D140,'Smelter Look-up'!$J:$J,0),MATCH($B140&amp;$C140,'Smelter Look-up'!$J:$J,0)))</f>
        <v>508</v>
      </c>
      <c r="X140" s="227">
        <f t="shared" ca="1" si="21"/>
        <v>0</v>
      </c>
      <c r="AB140" s="228" t="str">
        <f t="shared" ca="1" si="22"/>
        <v>TinPT Bangka Prima Tin</v>
      </c>
    </row>
    <row r="141" spans="1:28" s="227" customFormat="1" ht="20.25">
      <c r="A141" s="181" t="s">
        <v>15458</v>
      </c>
      <c r="B141" s="182" t="str">
        <f ca="1">IF(LEN(A141)=0,"",INDEX('Smelter Look-up'!$A:$A,MATCH($A141,'Smelter Look-up'!$E:$E,0)))</f>
        <v>Tin</v>
      </c>
      <c r="C141" s="186" t="str">
        <f ca="1">IF(LEN(A141)=0,"",INDEX('Smelter Look-up'!$C:$C,MATCH($A141,'Smelter Look-up'!$E:$E,0)))</f>
        <v>PT Sukses Inti Makmur (SIM)</v>
      </c>
      <c r="D141" s="230"/>
      <c r="E141" s="182" t="str">
        <f ca="1">IF(ISERROR($V141),"",OFFSET('Smelter Look-up'!$D$4,$V141-4,0)&amp;"")</f>
        <v>INDONESIA</v>
      </c>
      <c r="F141" s="182" t="str">
        <f ca="1">IF(ISERROR($V141),"",OFFSET('Smelter Look-up'!$E$4,$V141-4,0))</f>
        <v>CID002816</v>
      </c>
      <c r="G141" s="182" t="str">
        <f ca="1">IF(C141=$X$4,IF(ISERROR($V141),"Enter smelter details","RMI"),IF(ISERROR($V141),"",OFFSET('Smelter Look-up'!$F$4,$V141-4,0)))</f>
        <v>RMI</v>
      </c>
      <c r="H141" s="183">
        <f ca="1">IF(ISERROR($V141),"",OFFSET('Smelter Look-up'!$G$4,$V141-4,0))</f>
        <v>0</v>
      </c>
      <c r="I141" s="184" t="str">
        <f ca="1">IF(ISERROR($V141),"",OFFSET('Smelter Look-up'!$H$4,$V141-4,0))</f>
        <v>Belitung</v>
      </c>
      <c r="J141" s="184" t="str">
        <f ca="1">IF(ISERROR($V141),"",OFFSET('Smelter Look-up'!$I$4,$V141-4,0))</f>
        <v>Kepulauan Bangka Belitung</v>
      </c>
      <c r="K141" s="224"/>
      <c r="L141" s="224"/>
      <c r="M141" s="224"/>
      <c r="N141" s="224"/>
      <c r="O141" s="224"/>
      <c r="P141" s="185"/>
      <c r="Q141" s="225"/>
      <c r="R141" s="182" t="str">
        <f ca="1">IF(ISERROR($V141),"",OFFSET('Smelter Look-up'!$C$4,$V141-4,0)&amp;"")</f>
        <v>PT Sukses Inti Makmur (SIM)</v>
      </c>
      <c r="S141" s="181" t="str">
        <f t="shared" ca="1" si="20"/>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529</v>
      </c>
      <c r="X141" s="227">
        <f t="shared" ca="1" si="21"/>
        <v>0</v>
      </c>
      <c r="AB141" s="228" t="str">
        <f t="shared" ca="1" si="22"/>
        <v>TinPT Sukses Inti Makmur (SIM)</v>
      </c>
    </row>
    <row r="142" spans="1:28" s="227" customFormat="1" ht="20.25">
      <c r="A142" s="181" t="s">
        <v>15078</v>
      </c>
      <c r="B142" s="182" t="str">
        <f ca="1">IF(LEN(A142)=0,"",INDEX('Smelter Look-up'!$A:$A,MATCH($A142,'Smelter Look-up'!$E:$E,0)))</f>
        <v>Tin</v>
      </c>
      <c r="C142" s="186" t="str">
        <f ca="1">IF(LEN(A142)=0,"",INDEX('Smelter Look-up'!$C:$C,MATCH($A142,'Smelter Look-up'!$E:$E,0)))</f>
        <v>PT Menara Cipta Mulia</v>
      </c>
      <c r="D142" s="230"/>
      <c r="E142" s="182" t="str">
        <f ca="1">IF(ISERROR($V142),"",OFFSET('Smelter Look-up'!$D$4,$V142-4,0)&amp;"")</f>
        <v>INDONESIA</v>
      </c>
      <c r="F142" s="182" t="str">
        <f ca="1">IF(ISERROR($V142),"",OFFSET('Smelter Look-up'!$E$4,$V142-4,0))</f>
        <v>CID002835</v>
      </c>
      <c r="G142" s="182" t="str">
        <f ca="1">IF(C142=$X$4,IF(ISERROR($V142),"Enter smelter details","RMI"),IF(ISERROR($V142),"",OFFSET('Smelter Look-up'!$F$4,$V142-4,0)))</f>
        <v>RMI</v>
      </c>
      <c r="H142" s="183">
        <f ca="1">IF(ISERROR($V142),"",OFFSET('Smelter Look-up'!$G$4,$V142-4,0))</f>
        <v>0</v>
      </c>
      <c r="I142" s="184" t="str">
        <f ca="1">IF(ISERROR($V142),"",OFFSET('Smelter Look-up'!$H$4,$V142-4,0))</f>
        <v>Mentawak</v>
      </c>
      <c r="J142" s="184" t="str">
        <f ca="1">IF(ISERROR($V142),"",OFFSET('Smelter Look-up'!$I$4,$V142-4,0))</f>
        <v>Kepulauan Bangka Belitung</v>
      </c>
      <c r="K142" s="224"/>
      <c r="L142" s="224"/>
      <c r="M142" s="224"/>
      <c r="N142" s="224"/>
      <c r="O142" s="224"/>
      <c r="P142" s="185"/>
      <c r="Q142" s="225"/>
      <c r="R142" s="182" t="str">
        <f ca="1">IF(ISERROR($V142),"",OFFSET('Smelter Look-up'!$C$4,$V142-4,0)&amp;"")</f>
        <v>PT Menara Cipta Mulia</v>
      </c>
      <c r="S142" s="181" t="str">
        <f t="shared" ca="1" si="20"/>
        <v>ID</v>
      </c>
      <c r="T142" s="181" t="str">
        <f ca="1">IF(B142="","",IF(ISERROR(MATCH($J142,SorP!$B$1:$B$6226,0)),"",INDIRECT("'SorP'!$A$"&amp;MATCH($S142&amp;$J142,SorP!C:C,0))))</f>
        <v>ID-BB</v>
      </c>
      <c r="U142" s="201"/>
      <c r="V142" s="226">
        <f ca="1">IF(C142="",NA(),IF(OR(C142="Smelter not listed",C142="Smelter not yet identified"),MATCH($B142&amp;$D142,'Smelter Look-up'!$J:$J,0),MATCH($B142&amp;$C142,'Smelter Look-up'!$J:$J,0)))</f>
        <v>516</v>
      </c>
      <c r="X142" s="227">
        <f t="shared" ca="1" si="21"/>
        <v>0</v>
      </c>
      <c r="AB142" s="228" t="str">
        <f t="shared" ca="1" si="22"/>
        <v>TinPT Menara Cipta Mulia</v>
      </c>
    </row>
    <row r="143" spans="1:28" s="227" customFormat="1" ht="20.25">
      <c r="A143" s="181" t="s">
        <v>15811</v>
      </c>
      <c r="B143" s="182" t="str">
        <f ca="1">IF(LEN(A143)=0,"",INDEX('Smelter Look-up'!$A:$A,MATCH($A143,'Smelter Look-up'!$E:$E,0)))</f>
        <v>Tin</v>
      </c>
      <c r="C143" s="186" t="str">
        <f ca="1">IF(LEN(A143)=0,"",INDEX('Smelter Look-up'!$C:$C,MATCH($A143,'Smelter Look-up'!$E:$E,0)))</f>
        <v>HuiChang Hill Tin Industry Co., Ltd.</v>
      </c>
      <c r="D143" s="230"/>
      <c r="E143" s="182" t="str">
        <f ca="1">IF(ISERROR($V143),"",OFFSET('Smelter Look-up'!$D$4,$V143-4,0)&amp;"")</f>
        <v>CHINA</v>
      </c>
      <c r="F143" s="182" t="str">
        <f ca="1">IF(ISERROR($V143),"",OFFSET('Smelter Look-up'!$E$4,$V143-4,0))</f>
        <v>CID002844</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HuiChang Hill Tin Industry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458</v>
      </c>
      <c r="X143" s="227">
        <f t="shared" ca="1" si="21"/>
        <v>0</v>
      </c>
      <c r="AB143" s="228" t="str">
        <f t="shared" ca="1" si="22"/>
        <v>TinHuiChang Hill Tin Industry Co., Ltd.</v>
      </c>
    </row>
    <row r="144" spans="1:28" s="227" customFormat="1" ht="20.25">
      <c r="A144" s="181" t="s">
        <v>2512</v>
      </c>
      <c r="B144" s="182" t="str">
        <f ca="1">IF(LEN(A144)=0,"",INDEX('Smelter Look-up'!$A:$A,MATCH($A144,'Smelter Look-up'!$E:$E,0)))</f>
        <v>Tin</v>
      </c>
      <c r="C144" s="186" t="str">
        <f ca="1">IF(LEN(A144)=0,"",INDEX('Smelter Look-up'!$C:$C,MATCH($A144,'Smelter Look-up'!$E:$E,0)))</f>
        <v>Guangdong Hanhe Non-Ferrous Metal Co., Ltd.</v>
      </c>
      <c r="D144" s="230"/>
      <c r="E144" s="182" t="str">
        <f ca="1">IF(ISERROR($V144),"",OFFSET('Smelter Look-up'!$D$4,$V144-4,0)&amp;"")</f>
        <v>CHINA</v>
      </c>
      <c r="F144" s="182" t="str">
        <f ca="1">IF(ISERROR($V144),"",OFFSET('Smelter Look-up'!$E$4,$V144-4,0))</f>
        <v>CID003116</v>
      </c>
      <c r="G144" s="182" t="str">
        <f ca="1">IF(C144=$X$4,IF(ISERROR($V144),"Enter smelter details","RMI"),IF(ISERROR($V144),"",OFFSET('Smelter Look-up'!$F$4,$V144-4,0)))</f>
        <v>RMI</v>
      </c>
      <c r="H144" s="183">
        <f ca="1">IF(ISERROR($V144),"",OFFSET('Smelter Look-up'!$G$4,$V144-4,0))</f>
        <v>0</v>
      </c>
      <c r="I144" s="184" t="str">
        <f ca="1">IF(ISERROR($V144),"",OFFSET('Smelter Look-up'!$H$4,$V144-4,0))</f>
        <v>Chaozhou</v>
      </c>
      <c r="J144" s="184" t="str">
        <f ca="1">IF(ISERROR($V144),"",OFFSET('Smelter Look-up'!$I$4,$V144-4,0))</f>
        <v>Guangdong Sheng</v>
      </c>
      <c r="K144" s="224"/>
      <c r="L144" s="224"/>
      <c r="M144" s="224"/>
      <c r="N144" s="224"/>
      <c r="O144" s="224"/>
      <c r="P144" s="185"/>
      <c r="Q144" s="225"/>
      <c r="R144" s="182" t="str">
        <f ca="1">IF(ISERROR($V144),"",OFFSET('Smelter Look-up'!$C$4,$V144-4,0)&amp;"")</f>
        <v>Guangdong Hanhe Non-Ferrous Metal Co., Ltd.</v>
      </c>
      <c r="S144" s="181" t="str">
        <f t="shared" ca="1" si="20"/>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455</v>
      </c>
      <c r="X144" s="227">
        <f t="shared" ca="1" si="21"/>
        <v>0</v>
      </c>
      <c r="AB144" s="228" t="str">
        <f t="shared" ca="1" si="22"/>
        <v>TinGuangdong Hanhe Non-Ferrous Metal Co., Ltd.</v>
      </c>
    </row>
    <row r="145" spans="1:28" s="227" customFormat="1" ht="20.25">
      <c r="A145" s="181" t="s">
        <v>12908</v>
      </c>
      <c r="B145" s="182" t="str">
        <f ca="1">IF(LEN(A145)=0,"",INDEX('Smelter Look-up'!$A:$A,MATCH($A145,'Smelter Look-up'!$E:$E,0)))</f>
        <v>Tin</v>
      </c>
      <c r="C145" s="186" t="str">
        <f ca="1">IF(LEN(A145)=0,"",INDEX('Smelter Look-up'!$C:$C,MATCH($A145,'Smelter Look-up'!$E:$E,0)))</f>
        <v>Chifeng Dajingzi Tin Industry Co., Ltd.</v>
      </c>
      <c r="D145" s="230"/>
      <c r="E145" s="182" t="str">
        <f ca="1">IF(ISERROR($V145),"",OFFSET('Smelter Look-up'!$D$4,$V145-4,0)&amp;"")</f>
        <v>CHINA</v>
      </c>
      <c r="F145" s="182" t="str">
        <f ca="1">IF(ISERROR($V145),"",OFFSET('Smelter Look-up'!$E$4,$V145-4,0))</f>
        <v>CID003190</v>
      </c>
      <c r="G145" s="182" t="str">
        <f ca="1">IF(C145=$X$4,IF(ISERROR($V145),"Enter smelter details","RMI"),IF(ISERROR($V145),"",OFFSET('Smelter Look-up'!$F$4,$V145-4,0)))</f>
        <v>RMI</v>
      </c>
      <c r="H145" s="183">
        <f ca="1">IF(ISERROR($V145),"",OFFSET('Smelter Look-up'!$G$4,$V145-4,0))</f>
        <v>0</v>
      </c>
      <c r="I145" s="184" t="str">
        <f ca="1">IF(ISERROR($V145),"",OFFSET('Smelter Look-up'!$H$4,$V145-4,0))</f>
        <v>Chifeng</v>
      </c>
      <c r="J145" s="184" t="str">
        <f ca="1">IF(ISERROR($V145),"",OFFSET('Smelter Look-up'!$I$4,$V145-4,0))</f>
        <v>Nei Mongol Zizhiqu</v>
      </c>
      <c r="K145" s="224"/>
      <c r="L145" s="224"/>
      <c r="M145" s="224"/>
      <c r="N145" s="224"/>
      <c r="O145" s="224"/>
      <c r="P145" s="185"/>
      <c r="Q145" s="225"/>
      <c r="R145" s="182" t="str">
        <f ca="1">IF(ISERROR($V145),"",OFFSET('Smelter Look-up'!$C$4,$V145-4,0)&amp;"")</f>
        <v>Chifeng Dajingzi Tin Industry Co., Ltd.</v>
      </c>
      <c r="S145" s="181" t="str">
        <f t="shared" ca="1" si="20"/>
        <v>CN</v>
      </c>
      <c r="T145" s="181" t="str">
        <f ca="1">IF(B145="","",IF(ISERROR(MATCH($J145,SorP!$B$1:$B$6226,0)),"",INDIRECT("'SorP'!$A$"&amp;MATCH($S145&amp;$J145,SorP!C:C,0))))</f>
        <v>CN-NM</v>
      </c>
      <c r="U145" s="201"/>
      <c r="V145" s="226">
        <f ca="1">IF(C145="",NA(),IF(OR(C145="Smelter not listed",C145="Smelter not yet identified"),MATCH($B145&amp;$D145,'Smelter Look-up'!$J:$J,0),MATCH($B145&amp;$C145,'Smelter Look-up'!$J:$J,0)))</f>
        <v>412</v>
      </c>
      <c r="X145" s="227">
        <f t="shared" ca="1" si="21"/>
        <v>0</v>
      </c>
      <c r="AB145" s="228" t="str">
        <f t="shared" ca="1" si="22"/>
        <v>TinChifeng Dajingzi Tin Industry Co., Ltd.</v>
      </c>
    </row>
    <row r="146" spans="1:28" s="227" customFormat="1" ht="20.25">
      <c r="A146" s="181" t="s">
        <v>13161</v>
      </c>
      <c r="B146" s="182" t="str">
        <f ca="1">IF(LEN(A146)=0,"",INDEX('Smelter Look-up'!$A:$A,MATCH($A146,'Smelter Look-up'!$E:$E,0)))</f>
        <v>Tin</v>
      </c>
      <c r="C146" s="186" t="str">
        <f ca="1">IF(LEN(A146)=0,"",INDEX('Smelter Look-up'!$C:$C,MATCH($A146,'Smelter Look-up'!$E:$E,0)))</f>
        <v>Tin Technology &amp; Refining</v>
      </c>
      <c r="D146" s="230"/>
      <c r="E146" s="182" t="str">
        <f ca="1">IF(ISERROR($V146),"",OFFSET('Smelter Look-up'!$D$4,$V146-4,0)&amp;"")</f>
        <v>UNITED STATES OF AMERICA</v>
      </c>
      <c r="F146" s="182" t="str">
        <f ca="1">IF(ISERROR($V146),"",OFFSET('Smelter Look-up'!$E$4,$V146-4,0))</f>
        <v>CID003325</v>
      </c>
      <c r="G146" s="182" t="str">
        <f ca="1">IF(C146=$X$4,IF(ISERROR($V146),"Enter smelter details","RMI"),IF(ISERROR($V146),"",OFFSET('Smelter Look-up'!$F$4,$V146-4,0)))</f>
        <v>RMI</v>
      </c>
      <c r="H146" s="183">
        <f ca="1">IF(ISERROR($V146),"",OFFSET('Smelter Look-up'!$G$4,$V146-4,0))</f>
        <v>0</v>
      </c>
      <c r="I146" s="184" t="str">
        <f ca="1">IF(ISERROR($V146),"",OFFSET('Smelter Look-up'!$H$4,$V146-4,0))</f>
        <v>West Chester</v>
      </c>
      <c r="J146" s="184" t="str">
        <f ca="1">IF(ISERROR($V146),"",OFFSET('Smelter Look-up'!$I$4,$V146-4,0))</f>
        <v>Pennsylvania</v>
      </c>
      <c r="K146" s="224"/>
      <c r="L146" s="224"/>
      <c r="M146" s="224"/>
      <c r="N146" s="224"/>
      <c r="O146" s="224"/>
      <c r="P146" s="185"/>
      <c r="Q146" s="225"/>
      <c r="R146" s="182" t="str">
        <f ca="1">IF(ISERROR($V146),"",OFFSET('Smelter Look-up'!$C$4,$V146-4,0)&amp;"")</f>
        <v>Tin Technology &amp; Refining</v>
      </c>
      <c r="S146" s="181" t="str">
        <f t="shared" ca="1" si="20"/>
        <v>US</v>
      </c>
      <c r="T146" s="181" t="str">
        <f ca="1">IF(B146="","",IF(ISERROR(MATCH($J146,SorP!$B$1:$B$6226,0)),"",INDIRECT("'SorP'!$A$"&amp;MATCH($S146&amp;$J146,SorP!C:C,0))))</f>
        <v>US-PA</v>
      </c>
      <c r="U146" s="201"/>
      <c r="V146" s="226">
        <f ca="1">IF(C146="",NA(),IF(OR(C146="Smelter not listed",C146="Smelter not yet identified"),MATCH($B146&amp;$D146,'Smelter Look-up'!$J:$J,0),MATCH($B146&amp;$C146,'Smelter Look-up'!$J:$J,0)))</f>
        <v>551</v>
      </c>
      <c r="X146" s="227">
        <f t="shared" ca="1" si="21"/>
        <v>0</v>
      </c>
      <c r="AB146" s="228" t="str">
        <f t="shared" ca="1" si="22"/>
        <v>TinTin Technology &amp; Refining</v>
      </c>
    </row>
    <row r="147" spans="1:28" s="227" customFormat="1" ht="20.25">
      <c r="A147" s="181" t="s">
        <v>15082</v>
      </c>
      <c r="B147" s="182" t="str">
        <f ca="1">IF(LEN(A147)=0,"",INDEX('Smelter Look-up'!$A:$A,MATCH($A147,'Smelter Look-up'!$E:$E,0)))</f>
        <v>Tin</v>
      </c>
      <c r="C147" s="186" t="str">
        <f ca="1">IF(LEN(A147)=0,"",INDEX('Smelter Look-up'!$C:$C,MATCH($A147,'Smelter Look-up'!$E:$E,0)))</f>
        <v>PT Rajawali Rimba Perkasa</v>
      </c>
      <c r="D147" s="230"/>
      <c r="E147" s="182" t="str">
        <f ca="1">IF(ISERROR($V147),"",OFFSET('Smelter Look-up'!$D$4,$V147-4,0)&amp;"")</f>
        <v>INDONESIA</v>
      </c>
      <c r="F147" s="182" t="str">
        <f ca="1">IF(ISERROR($V147),"",OFFSET('Smelter Look-up'!$E$4,$V147-4,0))</f>
        <v>CID003381</v>
      </c>
      <c r="G147" s="182" t="str">
        <f ca="1">IF(C147=$X$4,IF(ISERROR($V147),"Enter smelter details","RMI"),IF(ISERROR($V147),"",OFFSET('Smelter Look-up'!$F$4,$V147-4,0)))</f>
        <v>RMI</v>
      </c>
      <c r="H147" s="183">
        <f ca="1">IF(ISERROR($V147),"",OFFSET('Smelter Look-up'!$G$4,$V147-4,0))</f>
        <v>0</v>
      </c>
      <c r="I147" s="184" t="str">
        <f ca="1">IF(ISERROR($V147),"",OFFSET('Smelter Look-up'!$H$4,$V147-4,0))</f>
        <v>Tukak Sadai</v>
      </c>
      <c r="J147" s="184" t="str">
        <f ca="1">IF(ISERROR($V147),"",OFFSET('Smelter Look-up'!$I$4,$V147-4,0))</f>
        <v>Kepulauan Bangka Belitung</v>
      </c>
      <c r="K147" s="224"/>
      <c r="L147" s="224"/>
      <c r="M147" s="224"/>
      <c r="N147" s="224"/>
      <c r="O147" s="224"/>
      <c r="P147" s="185"/>
      <c r="Q147" s="225"/>
      <c r="R147" s="182" t="str">
        <f ca="1">IF(ISERROR($V147),"",OFFSET('Smelter Look-up'!$C$4,$V147-4,0)&amp;"")</f>
        <v>PT Rajawali Rimba Perkasa</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524</v>
      </c>
      <c r="X147" s="227">
        <f t="shared" ca="1" si="21"/>
        <v>0</v>
      </c>
      <c r="AB147" s="228" t="str">
        <f t="shared" ca="1" si="22"/>
        <v>TinPT Rajawali Rimba Perkasa</v>
      </c>
    </row>
    <row r="148" spans="1:28" s="227" customFormat="1" ht="20.25">
      <c r="A148" s="181" t="s">
        <v>13840</v>
      </c>
      <c r="B148" s="182" t="str">
        <f ca="1">IF(LEN(A148)=0,"",INDEX('Smelter Look-up'!$A:$A,MATCH($A148,'Smelter Look-up'!$E:$E,0)))</f>
        <v>Tin</v>
      </c>
      <c r="C148" s="186" t="str">
        <f ca="1">IF(LEN(A148)=0,"",INDEX('Smelter Look-up'!$C:$C,MATCH($A148,'Smelter Look-up'!$E:$E,0)))</f>
        <v>Luna Smelter, Ltd.</v>
      </c>
      <c r="D148" s="230"/>
      <c r="E148" s="182" t="str">
        <f ca="1">IF(ISERROR($V148),"",OFFSET('Smelter Look-up'!$D$4,$V148-4,0)&amp;"")</f>
        <v>RWANDA</v>
      </c>
      <c r="F148" s="182" t="str">
        <f ca="1">IF(ISERROR($V148),"",OFFSET('Smelter Look-up'!$E$4,$V148-4,0))</f>
        <v>CID003387</v>
      </c>
      <c r="G148" s="182" t="str">
        <f ca="1">IF(C148=$X$4,IF(ISERROR($V148),"Enter smelter details","RMI"),IF(ISERROR($V148),"",OFFSET('Smelter Look-up'!$F$4,$V148-4,0)))</f>
        <v>RMI</v>
      </c>
      <c r="H148" s="183">
        <f ca="1">IF(ISERROR($V148),"",OFFSET('Smelter Look-up'!$G$4,$V148-4,0))</f>
        <v>0</v>
      </c>
      <c r="I148" s="184" t="str">
        <f ca="1">IF(ISERROR($V148),"",OFFSET('Smelter Look-up'!$H$4,$V148-4,0))</f>
        <v>Kigali</v>
      </c>
      <c r="J148" s="184" t="str">
        <f ca="1">IF(ISERROR($V148),"",OFFSET('Smelter Look-up'!$I$4,$V148-4,0))</f>
        <v>City of Kigali</v>
      </c>
      <c r="K148" s="224"/>
      <c r="L148" s="224"/>
      <c r="M148" s="224"/>
      <c r="N148" s="224"/>
      <c r="O148" s="224"/>
      <c r="P148" s="185"/>
      <c r="Q148" s="225"/>
      <c r="R148" s="182" t="str">
        <f ca="1">IF(ISERROR($V148),"",OFFSET('Smelter Look-up'!$C$4,$V148-4,0)&amp;"")</f>
        <v>Luna Smelter, Ltd.</v>
      </c>
      <c r="S148" s="181" t="str">
        <f t="shared" ca="1" si="20"/>
        <v>RW</v>
      </c>
      <c r="T148" s="181" t="str">
        <f ca="1">IF(B148="","",IF(ISERROR(MATCH($J148,SorP!$B$1:$B$6226,0)),"",INDIRECT("'SorP'!$A$"&amp;MATCH($S148&amp;$J148,SorP!C:C,0))))</f>
        <v>RW-01</v>
      </c>
      <c r="U148" s="201"/>
      <c r="V148" s="226">
        <f ca="1">IF(C148="",NA(),IF(OR(C148="Smelter not listed",C148="Smelter not yet identified"),MATCH($B148&amp;$D148,'Smelter Look-up'!$J:$J,0),MATCH($B148&amp;$C148,'Smelter Look-up'!$J:$J,0)))</f>
        <v>471</v>
      </c>
      <c r="X148" s="227">
        <f t="shared" ca="1" si="21"/>
        <v>0</v>
      </c>
      <c r="AB148" s="228" t="str">
        <f t="shared" ca="1" si="22"/>
        <v>TinLuna Smelter, Ltd.</v>
      </c>
    </row>
    <row r="149" spans="1:28" s="227" customFormat="1" ht="20.25">
      <c r="A149" s="181" t="s">
        <v>13785</v>
      </c>
      <c r="B149" s="182" t="str">
        <f ca="1">IF(LEN(A149)=0,"",INDEX('Smelter Look-up'!$A:$A,MATCH($A149,'Smelter Look-up'!$E:$E,0)))</f>
        <v>Tin</v>
      </c>
      <c r="C149" s="186" t="str">
        <f ca="1">IF(LEN(A149)=0,"",INDEX('Smelter Look-up'!$C:$C,MATCH($A149,'Smelter Look-up'!$E:$E,0)))</f>
        <v>Yunnan Yunfan Non-ferrous Metals Co., Ltd.</v>
      </c>
      <c r="D149" s="230"/>
      <c r="E149" s="182" t="str">
        <f ca="1">IF(ISERROR($V149),"",OFFSET('Smelter Look-up'!$D$4,$V149-4,0)&amp;"")</f>
        <v>CHINA</v>
      </c>
      <c r="F149" s="182" t="str">
        <f ca="1">IF(ISERROR($V149),"",OFFSET('Smelter Look-up'!$E$4,$V149-4,0))</f>
        <v>CID003397</v>
      </c>
      <c r="G149" s="182" t="str">
        <f ca="1">IF(C149=$X$4,IF(ISERROR($V149),"Enter smelter details","RMI"),IF(ISERROR($V149),"",OFFSET('Smelter Look-up'!$F$4,$V149-4,0)))</f>
        <v>RMI</v>
      </c>
      <c r="H149" s="183">
        <f ca="1">IF(ISERROR($V149),"",OFFSET('Smelter Look-up'!$G$4,$V149-4,0))</f>
        <v>0</v>
      </c>
      <c r="I149" s="184" t="str">
        <f ca="1">IF(ISERROR($V149),"",OFFSET('Smelter Look-up'!$H$4,$V149-4,0))</f>
        <v>Gejiu</v>
      </c>
      <c r="J149" s="184" t="str">
        <f ca="1">IF(ISERROR($V149),"",OFFSET('Smelter Look-up'!$I$4,$V149-4,0))</f>
        <v>Yunnan Sheng</v>
      </c>
      <c r="K149" s="224"/>
      <c r="L149" s="224"/>
      <c r="M149" s="224"/>
      <c r="N149" s="224"/>
      <c r="O149" s="224"/>
      <c r="P149" s="185"/>
      <c r="Q149" s="225"/>
      <c r="R149" s="182" t="str">
        <f ca="1">IF(ISERROR($V149),"",OFFSET('Smelter Look-up'!$C$4,$V149-4,0)&amp;"")</f>
        <v>Yunnan Yunfan Non-ferrous Metals Co., Ltd.</v>
      </c>
      <c r="S149" s="181" t="str">
        <f t="shared" ca="1" si="20"/>
        <v>CN</v>
      </c>
      <c r="T149" s="181" t="str">
        <f ca="1">IF(B149="","",IF(ISERROR(MATCH($J149,SorP!$B$1:$B$6226,0)),"",INDIRECT("'SorP'!$A$"&amp;MATCH($S149&amp;$J149,SorP!C:C,0))))</f>
        <v>CN-YN</v>
      </c>
      <c r="U149" s="201"/>
      <c r="V149" s="226">
        <f ca="1">IF(C149="",NA(),IF(OR(C149="Smelter not listed",C149="Smelter not yet identified"),MATCH($B149&amp;$D149,'Smelter Look-up'!$J:$J,0),MATCH($B149&amp;$C149,'Smelter Look-up'!$J:$J,0)))</f>
        <v>573</v>
      </c>
      <c r="X149" s="227">
        <f t="shared" ca="1" si="21"/>
        <v>0</v>
      </c>
      <c r="AB149" s="228" t="str">
        <f t="shared" ca="1" si="22"/>
        <v>TinYunnan Yunfan Non-ferrous Metals Co., Ltd.</v>
      </c>
    </row>
    <row r="150" spans="1:28" s="227" customFormat="1" ht="20.25">
      <c r="A150" s="181" t="s">
        <v>13841</v>
      </c>
      <c r="B150" s="182" t="str">
        <f ca="1">IF(LEN(A150)=0,"",INDEX('Smelter Look-up'!$A:$A,MATCH($A150,'Smelter Look-up'!$E:$E,0)))</f>
        <v>Tin</v>
      </c>
      <c r="C150" s="186" t="str">
        <f ca="1">IF(LEN(A150)=0,"",INDEX('Smelter Look-up'!$C:$C,MATCH($A150,'Smelter Look-up'!$E:$E,0)))</f>
        <v>PT Mitra Sukses Globalindo</v>
      </c>
      <c r="D150" s="230"/>
      <c r="E150" s="182" t="str">
        <f ca="1">IF(ISERROR($V150),"",OFFSET('Smelter Look-up'!$D$4,$V150-4,0)&amp;"")</f>
        <v>INDONESIA</v>
      </c>
      <c r="F150" s="182" t="str">
        <f ca="1">IF(ISERROR($V150),"",OFFSET('Smelter Look-up'!$E$4,$V150-4,0))</f>
        <v>CID003449</v>
      </c>
      <c r="G150" s="182" t="str">
        <f ca="1">IF(C150=$X$4,IF(ISERROR($V150),"Enter smelter details","RMI"),IF(ISERROR($V150),"",OFFSET('Smelter Look-up'!$F$4,$V150-4,0)))</f>
        <v>RMI</v>
      </c>
      <c r="H150" s="183">
        <f ca="1">IF(ISERROR($V150),"",OFFSET('Smelter Look-up'!$G$4,$V150-4,0))</f>
        <v>0</v>
      </c>
      <c r="I150" s="184" t="str">
        <f ca="1">IF(ISERROR($V150),"",OFFSET('Smelter Look-up'!$H$4,$V150-4,0))</f>
        <v>Pangkalpinang</v>
      </c>
      <c r="J150" s="184" t="str">
        <f ca="1">IF(ISERROR($V150),"",OFFSET('Smelter Look-up'!$I$4,$V150-4,0))</f>
        <v>Kepulauan Bangka Belitung</v>
      </c>
      <c r="K150" s="224"/>
      <c r="L150" s="224"/>
      <c r="M150" s="224"/>
      <c r="N150" s="224"/>
      <c r="O150" s="224"/>
      <c r="P150" s="185"/>
      <c r="Q150" s="225"/>
      <c r="R150" s="182" t="str">
        <f ca="1">IF(ISERROR($V150),"",OFFSET('Smelter Look-up'!$C$4,$V150-4,0)&amp;"")</f>
        <v>PT Mitra Sukses Globalindo</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519</v>
      </c>
      <c r="X150" s="227">
        <f t="shared" ca="1" si="21"/>
        <v>0</v>
      </c>
      <c r="AB150" s="228" t="str">
        <f t="shared" ca="1" si="22"/>
        <v>TinPT Mitra Sukses Globalindo</v>
      </c>
    </row>
    <row r="151" spans="1:28" s="227" customFormat="1" ht="20.25">
      <c r="A151" s="181" t="s">
        <v>15057</v>
      </c>
      <c r="B151" s="182" t="str">
        <f ca="1">IF(LEN(A151)=0,"",INDEX('Smelter Look-up'!$A:$A,MATCH($A151,'Smelter Look-up'!$E:$E,0)))</f>
        <v>Tin</v>
      </c>
      <c r="C151" s="186" t="str">
        <f ca="1">IF(LEN(A151)=0,"",INDEX('Smelter Look-up'!$C:$C,MATCH($A151,'Smelter Look-up'!$E:$E,0)))</f>
        <v>CRM Fundicao De Metais E Comercio De Equipamentos Eletronicos Do Brasil Ltda</v>
      </c>
      <c r="D151" s="230"/>
      <c r="E151" s="182" t="str">
        <f ca="1">IF(ISERROR($V151),"",OFFSET('Smelter Look-up'!$D$4,$V151-4,0)&amp;"")</f>
        <v>BRAZIL</v>
      </c>
      <c r="F151" s="182" t="str">
        <f ca="1">IF(ISERROR($V151),"",OFFSET('Smelter Look-up'!$E$4,$V151-4,0))</f>
        <v>CID003486</v>
      </c>
      <c r="G151" s="182" t="str">
        <f ca="1">IF(C151=$X$4,IF(ISERROR($V151),"Enter smelter details","RMI"),IF(ISERROR($V151),"",OFFSET('Smelter Look-up'!$F$4,$V151-4,0)))</f>
        <v>RMI</v>
      </c>
      <c r="H151" s="183">
        <f ca="1">IF(ISERROR($V151),"",OFFSET('Smelter Look-up'!$G$4,$V151-4,0))</f>
        <v>0</v>
      </c>
      <c r="I151" s="184" t="str">
        <f ca="1">IF(ISERROR($V151),"",OFFSET('Smelter Look-up'!$H$4,$V151-4,0))</f>
        <v>São José</v>
      </c>
      <c r="J151" s="184" t="str">
        <f ca="1">IF(ISERROR($V151),"",OFFSET('Smelter Look-up'!$I$4,$V151-4,0))</f>
        <v>Santa Catarina</v>
      </c>
      <c r="K151" s="224"/>
      <c r="L151" s="224"/>
      <c r="M151" s="224"/>
      <c r="N151" s="224"/>
      <c r="O151" s="224"/>
      <c r="P151" s="185"/>
      <c r="Q151" s="225"/>
      <c r="R151" s="182" t="str">
        <f ca="1">IF(ISERROR($V151),"",OFFSET('Smelter Look-up'!$C$4,$V151-4,0)&amp;"")</f>
        <v>CRM Fundicao De Metais E Comercio De Equipamentos Eletronicos Do Brasil Ltda</v>
      </c>
      <c r="S151" s="181" t="str">
        <f t="shared" ca="1" si="20"/>
        <v>BR</v>
      </c>
      <c r="T151" s="181" t="str">
        <f ca="1">IF(B151="","",IF(ISERROR(MATCH($J151,SorP!$B$1:$B$6226,0)),"",INDIRECT("'SorP'!$A$"&amp;MATCH($S151&amp;$J151,SorP!C:C,0))))</f>
        <v>BR-SC</v>
      </c>
      <c r="U151" s="201"/>
      <c r="V151" s="226">
        <f ca="1">IF(C151="",NA(),IF(OR(C151="Smelter not listed",C151="Smelter not yet identified"),MATCH($B151&amp;$D151,'Smelter Look-up'!$J:$J,0),MATCH($B151&amp;$C151,'Smelter Look-up'!$J:$J,0)))</f>
        <v>420</v>
      </c>
      <c r="X151" s="227">
        <f t="shared" ca="1" si="21"/>
        <v>0</v>
      </c>
      <c r="AB151" s="228" t="str">
        <f t="shared" ca="1" si="22"/>
        <v>TinCRM Fundicao De Metais E Comercio De Equipamentos Eletronicos Do Brasil Ltda</v>
      </c>
    </row>
    <row r="152" spans="1:28" s="227" customFormat="1" ht="20.25">
      <c r="A152" s="181" t="s">
        <v>15060</v>
      </c>
      <c r="B152" s="182" t="str">
        <f ca="1">IF(LEN(A152)=0,"",INDEX('Smelter Look-up'!$A:$A,MATCH($A152,'Smelter Look-up'!$E:$E,0)))</f>
        <v>Tin</v>
      </c>
      <c r="C152" s="186" t="str">
        <f ca="1">IF(LEN(A152)=0,"",INDEX('Smelter Look-up'!$C:$C,MATCH($A152,'Smelter Look-up'!$E:$E,0)))</f>
        <v>CRM Synergies</v>
      </c>
      <c r="D152" s="230"/>
      <c r="E152" s="182" t="str">
        <f ca="1">IF(ISERROR($V152),"",OFFSET('Smelter Look-up'!$D$4,$V152-4,0)&amp;"")</f>
        <v>SPAIN</v>
      </c>
      <c r="F152" s="182" t="str">
        <f ca="1">IF(ISERROR($V152),"",OFFSET('Smelter Look-up'!$E$4,$V152-4,0))</f>
        <v>CID003524</v>
      </c>
      <c r="G152" s="182" t="str">
        <f ca="1">IF(C152=$X$4,IF(ISERROR($V152),"Enter smelter details","RMI"),IF(ISERROR($V152),"",OFFSET('Smelter Look-up'!$F$4,$V152-4,0)))</f>
        <v>RMI</v>
      </c>
      <c r="H152" s="183">
        <f ca="1">IF(ISERROR($V152),"",OFFSET('Smelter Look-up'!$G$4,$V152-4,0))</f>
        <v>0</v>
      </c>
      <c r="I152" s="184" t="str">
        <f ca="1">IF(ISERROR($V152),"",OFFSET('Smelter Look-up'!$H$4,$V152-4,0))</f>
        <v>Toledo</v>
      </c>
      <c r="J152" s="184" t="str">
        <f ca="1">IF(ISERROR($V152),"",OFFSET('Smelter Look-up'!$I$4,$V152-4,0))</f>
        <v>Toledo</v>
      </c>
      <c r="K152" s="224"/>
      <c r="L152" s="224"/>
      <c r="M152" s="224"/>
      <c r="N152" s="224"/>
      <c r="O152" s="224"/>
      <c r="P152" s="185"/>
      <c r="Q152" s="225"/>
      <c r="R152" s="182" t="str">
        <f ca="1">IF(ISERROR($V152),"",OFFSET('Smelter Look-up'!$C$4,$V152-4,0)&amp;"")</f>
        <v>CRM Synergies</v>
      </c>
      <c r="S152" s="181" t="str">
        <f t="shared" ca="1" si="20"/>
        <v>ES</v>
      </c>
      <c r="T152" s="181" t="str">
        <f ca="1">IF(B152="","",IF(ISERROR(MATCH($J152,SorP!$B$1:$B$6226,0)),"",INDIRECT("'SorP'!$A$"&amp;MATCH($S152&amp;$J152,SorP!C:C,0))))</f>
        <v>ES-TO</v>
      </c>
      <c r="U152" s="201"/>
      <c r="V152" s="226">
        <f ca="1">IF(C152="",NA(),IF(OR(C152="Smelter not listed",C152="Smelter not yet identified"),MATCH($B152&amp;$D152,'Smelter Look-up'!$J:$J,0),MATCH($B152&amp;$C152,'Smelter Look-up'!$J:$J,0)))</f>
        <v>422</v>
      </c>
      <c r="X152" s="227">
        <f t="shared" ca="1" si="21"/>
        <v>0</v>
      </c>
      <c r="AB152" s="228" t="str">
        <f t="shared" ca="1" si="22"/>
        <v>TinCRM Synergies</v>
      </c>
    </row>
    <row r="153" spans="1:28" s="227" customFormat="1" ht="20.25">
      <c r="A153" s="181" t="s">
        <v>15068</v>
      </c>
      <c r="B153" s="182" t="str">
        <f ca="1">IF(LEN(A153)=0,"",INDEX('Smelter Look-up'!$A:$A,MATCH($A153,'Smelter Look-up'!$E:$E,0)))</f>
        <v>Tin</v>
      </c>
      <c r="C153" s="186" t="str">
        <f ca="1">IF(LEN(A153)=0,"",INDEX('Smelter Look-up'!$C:$C,MATCH($A153,'Smelter Look-up'!$E:$E,0)))</f>
        <v>Fabrica Auricchio Industria e Comercio Ltda.</v>
      </c>
      <c r="D153" s="230"/>
      <c r="E153" s="182" t="str">
        <f ca="1">IF(ISERROR($V153),"",OFFSET('Smelter Look-up'!$D$4,$V153-4,0)&amp;"")</f>
        <v>BRAZIL</v>
      </c>
      <c r="F153" s="182" t="str">
        <f ca="1">IF(ISERROR($V153),"",OFFSET('Smelter Look-up'!$E$4,$V153-4,0))</f>
        <v>CID003582</v>
      </c>
      <c r="G153" s="182" t="str">
        <f ca="1">IF(C153=$X$4,IF(ISERROR($V153),"Enter smelter details","RMI"),IF(ISERROR($V153),"",OFFSET('Smelter Look-up'!$F$4,$V153-4,0)))</f>
        <v>RMI</v>
      </c>
      <c r="H153" s="183">
        <f ca="1">IF(ISERROR($V153),"",OFFSET('Smelter Look-up'!$G$4,$V153-4,0))</f>
        <v>0</v>
      </c>
      <c r="I153" s="184" t="str">
        <f ca="1">IF(ISERROR($V153),"",OFFSET('Smelter Look-up'!$H$4,$V153-4,0))</f>
        <v>Mogi das Cruzes</v>
      </c>
      <c r="J153" s="184" t="str">
        <f ca="1">IF(ISERROR($V153),"",OFFSET('Smelter Look-up'!$I$4,$V153-4,0))</f>
        <v>São Paulo</v>
      </c>
      <c r="K153" s="224"/>
      <c r="L153" s="224"/>
      <c r="M153" s="224"/>
      <c r="N153" s="224"/>
      <c r="O153" s="224"/>
      <c r="P153" s="185"/>
      <c r="Q153" s="225"/>
      <c r="R153" s="182" t="str">
        <f ca="1">IF(ISERROR($V153),"",OFFSET('Smelter Look-up'!$C$4,$V153-4,0)&amp;"")</f>
        <v>Fabrica Auricchio Industria e Comercio Ltda.</v>
      </c>
      <c r="S153" s="181" t="str">
        <f t="shared" ca="1" si="20"/>
        <v>BR</v>
      </c>
      <c r="T153" s="181" t="str">
        <f ca="1">IF(B153="","",IF(ISERROR(MATCH($J153,SorP!$B$1:$B$6226,0)),"",INDIRECT("'SorP'!$A$"&amp;MATCH($S153&amp;$J153,SorP!C:C,0))))</f>
        <v>BR-SP</v>
      </c>
      <c r="U153" s="201"/>
      <c r="V153" s="226">
        <f ca="1">IF(C153="",NA(),IF(OR(C153="Smelter not listed",C153="Smelter not yet identified"),MATCH($B153&amp;$D153,'Smelter Look-up'!$J:$J,0),MATCH($B153&amp;$C153,'Smelter Look-up'!$J:$J,0)))</f>
        <v>441</v>
      </c>
      <c r="X153" s="227">
        <f t="shared" ca="1" si="21"/>
        <v>0</v>
      </c>
      <c r="AB153" s="228" t="str">
        <f t="shared" ca="1" si="22"/>
        <v>TinFabrica Auricchio Industria e Comercio Ltda.</v>
      </c>
    </row>
    <row r="154" spans="1:28" s="227" customFormat="1" ht="20.25">
      <c r="A154" s="181" t="s">
        <v>15438</v>
      </c>
      <c r="B154" s="182" t="str">
        <f ca="1">IF(LEN(A154)=0,"",INDEX('Smelter Look-up'!$A:$A,MATCH($A154,'Smelter Look-up'!$E:$E,0)))</f>
        <v>Tin</v>
      </c>
      <c r="C154" s="186" t="str">
        <f ca="1">IF(LEN(A154)=0,"",INDEX('Smelter Look-up'!$C:$C,MATCH($A154,'Smelter Look-up'!$E:$E,0)))</f>
        <v>DS Myanmar</v>
      </c>
      <c r="D154" s="230"/>
      <c r="E154" s="182" t="str">
        <f ca="1">IF(ISERROR($V154),"",OFFSET('Smelter Look-up'!$D$4,$V154-4,0)&amp;"")</f>
        <v>MYANMAR</v>
      </c>
      <c r="F154" s="182" t="str">
        <f ca="1">IF(ISERROR($V154),"",OFFSET('Smelter Look-up'!$E$4,$V154-4,0))</f>
        <v>CID003831</v>
      </c>
      <c r="G154" s="182" t="str">
        <f ca="1">IF(C154=$X$4,IF(ISERROR($V154),"Enter smelter details","RMI"),IF(ISERROR($V154),"",OFFSET('Smelter Look-up'!$F$4,$V154-4,0)))</f>
        <v>RMI</v>
      </c>
      <c r="H154" s="183">
        <f ca="1">IF(ISERROR($V154),"",OFFSET('Smelter Look-up'!$G$4,$V154-4,0))</f>
        <v>0</v>
      </c>
      <c r="I154" s="184" t="str">
        <f ca="1">IF(ISERROR($V154),"",OFFSET('Smelter Look-up'!$H$4,$V154-4,0))</f>
        <v>Yangon</v>
      </c>
      <c r="J154" s="184" t="str">
        <f ca="1">IF(ISERROR($V154),"",OFFSET('Smelter Look-up'!$I$4,$V154-4,0))</f>
        <v>Yangon</v>
      </c>
      <c r="K154" s="224"/>
      <c r="L154" s="224"/>
      <c r="M154" s="224"/>
      <c r="N154" s="224"/>
      <c r="O154" s="224"/>
      <c r="P154" s="185"/>
      <c r="Q154" s="225"/>
      <c r="R154" s="182" t="str">
        <f ca="1">IF(ISERROR($V154),"",OFFSET('Smelter Look-up'!$C$4,$V154-4,0)&amp;"")</f>
        <v>DS Myanmar</v>
      </c>
      <c r="S154" s="181" t="str">
        <f t="shared" ca="1" si="20"/>
        <v>MM</v>
      </c>
      <c r="T154" s="181" t="str">
        <f ca="1">IF(B154="","",IF(ISERROR(MATCH($J154,SorP!$B$1:$B$6226,0)),"",INDIRECT("'SorP'!$A$"&amp;MATCH($S154&amp;$J154,SorP!C:C,0))))</f>
        <v>MM-06</v>
      </c>
      <c r="U154" s="201"/>
      <c r="V154" s="226">
        <f ca="1">IF(C154="",NA(),IF(OR(C154="Smelter not listed",C154="Smelter not yet identified"),MATCH($B154&amp;$D154,'Smelter Look-up'!$J:$J,0),MATCH($B154&amp;$C154,'Smelter Look-up'!$J:$J,0)))</f>
        <v>431</v>
      </c>
      <c r="X154" s="227">
        <f t="shared" ca="1" si="21"/>
        <v>0</v>
      </c>
      <c r="AB154" s="228" t="str">
        <f t="shared" ca="1" si="22"/>
        <v>TinDS Myanmar</v>
      </c>
    </row>
    <row r="155" spans="1:28" s="227" customFormat="1" ht="20.25">
      <c r="A155" s="181" t="s">
        <v>15455</v>
      </c>
      <c r="B155" s="182" t="str">
        <f ca="1">IF(LEN(A155)=0,"",INDEX('Smelter Look-up'!$A:$A,MATCH($A155,'Smelter Look-up'!$E:$E,0)))</f>
        <v>Tin</v>
      </c>
      <c r="C155" s="186" t="str">
        <f ca="1">IF(LEN(A155)=0,"",INDEX('Smelter Look-up'!$C:$C,MATCH($A155,'Smelter Look-up'!$E:$E,0)))</f>
        <v>PT Putera Sarana Shakti (PT PSS)</v>
      </c>
      <c r="D155" s="230"/>
      <c r="E155" s="182" t="str">
        <f ca="1">IF(ISERROR($V155),"",OFFSET('Smelter Look-up'!$D$4,$V155-4,0)&amp;"")</f>
        <v>INDONESIA</v>
      </c>
      <c r="F155" s="182" t="str">
        <f ca="1">IF(ISERROR($V155),"",OFFSET('Smelter Look-up'!$E$4,$V155-4,0))</f>
        <v>CID003868</v>
      </c>
      <c r="G155" s="182" t="str">
        <f ca="1">IF(C155=$X$4,IF(ISERROR($V155),"Enter smelter details","RMI"),IF(ISERROR($V155),"",OFFSET('Smelter Look-up'!$F$4,$V155-4,0)))</f>
        <v>RMI</v>
      </c>
      <c r="H155" s="183">
        <f ca="1">IF(ISERROR($V155),"",OFFSET('Smelter Look-up'!$G$4,$V155-4,0))</f>
        <v>0</v>
      </c>
      <c r="I155" s="184" t="str">
        <f ca="1">IF(ISERROR($V155),"",OFFSET('Smelter Look-up'!$H$4,$V155-4,0))</f>
        <v>Sungailiat</v>
      </c>
      <c r="J155" s="184" t="str">
        <f ca="1">IF(ISERROR($V155),"",OFFSET('Smelter Look-up'!$I$4,$V155-4,0))</f>
        <v>Kepulauan Bangka Belitung</v>
      </c>
      <c r="K155" s="224"/>
      <c r="L155" s="224"/>
      <c r="M155" s="224"/>
      <c r="N155" s="224"/>
      <c r="O155" s="224"/>
      <c r="P155" s="185"/>
      <c r="Q155" s="225"/>
      <c r="R155" s="182" t="str">
        <f ca="1">IF(ISERROR($V155),"",OFFSET('Smelter Look-up'!$C$4,$V155-4,0)&amp;"")</f>
        <v>PT Putera Sarana Shakti (PT PSS)</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523</v>
      </c>
      <c r="X155" s="227">
        <f t="shared" ca="1" si="21"/>
        <v>0</v>
      </c>
      <c r="AB155" s="228" t="str">
        <f t="shared" ca="1" si="22"/>
        <v>TinPT Putera Sarana Shakti (PT PSS)</v>
      </c>
    </row>
    <row r="156" spans="1:28" s="227" customFormat="1" ht="20.25">
      <c r="A156" s="181" t="s">
        <v>793</v>
      </c>
      <c r="B156" s="182" t="str">
        <f ca="1">IF(LEN(A156)=0,"",INDEX('Smelter Look-up'!$A:$A,MATCH($A156,'Smelter Look-up'!$E:$E,0)))</f>
        <v>Tungsten</v>
      </c>
      <c r="C156" s="186" t="str">
        <f ca="1">IF(LEN(A156)=0,"",INDEX('Smelter Look-up'!$C:$C,MATCH($A156,'Smelter Look-up'!$E:$E,0)))</f>
        <v>Xiamen Tungsten Co., Ltd.</v>
      </c>
      <c r="D156" s="230"/>
      <c r="E156" s="182" t="str">
        <f ca="1">IF(ISERROR($V156),"",OFFSET('Smelter Look-up'!$D$4,$V156-4,0)&amp;"")</f>
        <v>CHINA</v>
      </c>
      <c r="F156" s="182" t="str">
        <f ca="1">IF(ISERROR($V156),"",OFFSET('Smelter Look-up'!$E$4,$V156-4,0))</f>
        <v>CID002082</v>
      </c>
      <c r="G156" s="182">
        <f ca="1">IF(C156=$X$4,IF(ISERROR($V156),"Enter smelter details","RMI"),IF(ISERROR($V156),"",OFFSET('Smelter Look-up'!$F$4,$V156-4,0)))</f>
        <v>0</v>
      </c>
      <c r="H156" s="183">
        <f ca="1">IF(ISERROR($V156),"",OFFSET('Smelter Look-up'!$G$4,$V156-4,0))</f>
        <v>0</v>
      </c>
      <c r="I156" s="184" t="str">
        <f ca="1">IF(ISERROR($V156),"",OFFSET('Smelter Look-up'!$H$4,$V156-4,0))</f>
        <v>Xiamen</v>
      </c>
      <c r="J156" s="184" t="str">
        <f ca="1">IF(ISERROR($V156),"",OFFSET('Smelter Look-up'!$I$4,$V156-4,0))</f>
        <v>Fujian Sheng</v>
      </c>
      <c r="K156" s="224"/>
      <c r="L156" s="224"/>
      <c r="M156" s="224"/>
      <c r="N156" s="224"/>
      <c r="O156" s="224"/>
      <c r="P156" s="185"/>
      <c r="Q156" s="225"/>
      <c r="R156" s="182" t="str">
        <f ca="1">IF(ISERROR($V156),"",OFFSET('Smelter Look-up'!$C$4,$V156-4,0)&amp;"")</f>
        <v>Xiamen Tungsten Co., Ltd.</v>
      </c>
      <c r="S156" s="181" t="str">
        <f t="shared" ca="1" si="20"/>
        <v>CN</v>
      </c>
      <c r="T156" s="181" t="str">
        <f ca="1">IF(B156="","",IF(ISERROR(MATCH($J156,SorP!$B$1:$B$6226,0)),"",INDIRECT("'SorP'!$A$"&amp;MATCH($S156&amp;$J156,SorP!C:C,0))))</f>
        <v>CN-FJ</v>
      </c>
      <c r="U156" s="201"/>
      <c r="V156" s="226">
        <f ca="1">IF(C156="",NA(),IF(OR(C156="Smelter not listed",C156="Smelter not yet identified"),MATCH($B156&amp;$D156,'Smelter Look-up'!$J:$J,0),MATCH($B156&amp;$C156,'Smelter Look-up'!$J:$J,0)))</f>
        <v>659</v>
      </c>
      <c r="X156" s="227">
        <f t="shared" ca="1" si="21"/>
        <v>0</v>
      </c>
      <c r="AB156" s="228" t="str">
        <f t="shared" ca="1" si="22"/>
        <v>TungstenXiamen Tungsten Co., Ltd.</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3833041-1ACB-4959-B8FD-68374DC0153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19" customWidth="1"/>
    <col min="2" max="2" width="42.8203125" style="20" customWidth="1"/>
    <col min="3" max="3" width="51.5859375" style="19" customWidth="1"/>
    <col min="4" max="4" width="29.17578125" style="20" customWidth="1"/>
    <col min="5" max="5" width="9" style="19" customWidth="1"/>
    <col min="6" max="6" width="13.5859375" style="19" hidden="1" customWidth="1"/>
    <col min="7" max="7" width="13.3515625" style="19" hidden="1" customWidth="1"/>
    <col min="8" max="9" width="9" style="19" hidden="1" customWidth="1"/>
    <col min="10" max="10" width="48.8203125" style="19" hidden="1" customWidth="1"/>
    <col min="11" max="11" width="9" style="19" hidden="1" customWidth="1"/>
    <col min="12" max="15" width="8.8203125" style="19" hidden="1" customWidth="1"/>
    <col min="16" max="18" width="8.8203125" style="19" customWidth="1"/>
    <col min="19" max="16384" width="8.8203125" style="19"/>
  </cols>
  <sheetData>
    <row r="1" spans="1:10" ht="29.2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4.65">
      <c r="A2" s="66" t="s">
        <v>888</v>
      </c>
      <c r="B2" s="67" t="str">
        <f>IF(F65=1,"Click here to return to Smelter List","")</f>
        <v/>
      </c>
      <c r="C2" s="121" t="str">
        <f>IF(F65=1,"Click here to return to Product List","")</f>
        <v/>
      </c>
      <c r="D2" s="151">
        <f ca="1">IF(H70=0,"0",H70)</f>
        <v>2</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8.25">
      <c r="A4" s="90" t="str">
        <f ca="1">Declaration!B8</f>
        <v>Company Name (*):</v>
      </c>
      <c r="B4" s="89" t="str">
        <f>Declaration!D8</f>
        <v>Cornell Dubilier Electronics, a Division of Knowles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c r="A6" s="90" t="str">
        <f ca="1">Declaration!B10</f>
        <v>Description of Scope:</v>
      </c>
      <c r="B6" s="89" t="str">
        <f>Declaration!D10</f>
        <v>Declaration applicable to the Cornell Dubilier companies and brands Cornell Dubilier Marketing, Cornell Dubilier Electronics, CD Snow Hill (previously NWL capacitor division), CD Aero (previously Aerovox capacitor division), Mallory branded capacitors, Illinois Capacitor branded capacitors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Stephen Smith</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compliance@cde.com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3" t="str">
        <f>Declaration!D17</f>
        <v>+1-864-843-2277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Stephen Smith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compliance@cde.com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45443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800</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798</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797</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797</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8.25">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797</v>
      </c>
      <c r="F38" s="93"/>
    </row>
    <row r="39" spans="1:10" ht="25.9">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798</v>
      </c>
      <c r="F43" s="93"/>
    </row>
    <row r="44" spans="1:10" ht="50.6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799</v>
      </c>
      <c r="F48" s="93"/>
    </row>
    <row r="49" spans="1:10" ht="38.25">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437</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https://www.cde.com/why-cde/compliance/</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1.9">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2</v>
      </c>
    </row>
    <row r="73" spans="1:12" ht="12.7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77" customWidth="1"/>
    <col min="2" max="2" width="39.8203125" style="280" customWidth="1"/>
    <col min="3" max="3" width="39.8203125" style="277" customWidth="1"/>
    <col min="4" max="4" width="58.8203125" style="277" customWidth="1"/>
    <col min="5" max="5" width="1.5859375" style="277" customWidth="1"/>
    <col min="6" max="6" width="9" style="277" customWidth="1"/>
    <col min="7" max="16384" width="8.8203125" style="278"/>
  </cols>
  <sheetData>
    <row r="1" spans="1:6" s="21" customFormat="1" ht="35.200000000000003"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6" t="str">
        <f ca="1">OFFSET(L!$C$1,MATCH("General"&amp;"Cpy",L!$A:$A,0)-1,SL,,)</f>
        <v>© 2024 Responsible Minerals Initiative. All rights reserved.</v>
      </c>
      <c r="C2006" s="396"/>
      <c r="D2006" s="396"/>
      <c r="E2006" s="279"/>
    </row>
    <row r="2007" spans="1:5" ht="12.7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189" bestFit="1" customWidth="1"/>
    <col min="2" max="2" width="42.8203125" style="189" customWidth="1"/>
    <col min="3" max="3" width="63.8203125" style="189" customWidth="1"/>
    <col min="4" max="4" width="25.5859375" style="189" customWidth="1"/>
    <col min="5" max="5" width="12.5859375" style="189" customWidth="1"/>
    <col min="6" max="6" width="12.5859375" style="190" customWidth="1"/>
    <col min="7" max="7" width="15.3515625" style="189" customWidth="1"/>
    <col min="8" max="8" width="23.8203125" style="189" customWidth="1"/>
    <col min="9" max="9" width="28.17578125" style="189" customWidth="1"/>
    <col min="10" max="10" width="48.234375" style="189" hidden="1" customWidth="1"/>
    <col min="11" max="11" width="49.703125" style="189" hidden="1" customWidth="1"/>
    <col min="12" max="16384" width="8.8203125" style="189"/>
  </cols>
  <sheetData>
    <row r="1" spans="1:11" ht="168.7"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203125" defaultRowHeight="13.5"/>
  <cols>
    <col min="1" max="1" width="14.5859375" style="155" customWidth="1"/>
    <col min="2" max="2" width="14" style="155" customWidth="1"/>
    <col min="3" max="3" width="6.17578125" style="155" customWidth="1"/>
    <col min="4" max="4" width="56.234375" style="155" customWidth="1"/>
    <col min="5" max="5" width="53.703125" style="233" customWidth="1"/>
    <col min="6" max="6" width="54.17578125" style="155" customWidth="1"/>
    <col min="7" max="7" width="68.234375" style="155" customWidth="1"/>
    <col min="8" max="8" width="49.234375" style="155" customWidth="1"/>
    <col min="9" max="9" width="51.5859375" style="155" customWidth="1"/>
    <col min="10" max="10" width="50.234375" style="155" customWidth="1"/>
    <col min="11" max="11" width="51.8203125" customWidth="1"/>
    <col min="12" max="12" width="66.8203125" style="256" customWidth="1"/>
    <col min="13" max="13" width="46.17578125" style="109" customWidth="1"/>
    <col min="14" max="15" width="8.8203125" style="109" customWidth="1"/>
    <col min="16" max="16384" width="8.82031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1.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84.7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0.4">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3.1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4">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4">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99.7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199.5">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9">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5.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5.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48.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2.7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2.7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9.5">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4">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24">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3.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2.7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2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9.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1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1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1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9.5">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1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2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7">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7">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7">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0bd4e6b-03b2-4bc5-a2de-9868511776e3">
      <Terms xmlns="http://schemas.microsoft.com/office/infopath/2007/PartnerControls"/>
    </lcf76f155ced4ddcb4097134ff3c332f>
    <TaxCatchAll xmlns="42cc0a72-4285-46ac-9349-f8672c35412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6D8D750C2B1A045B268C24C09EA0025" ma:contentTypeVersion="16" ma:contentTypeDescription="Create a new document." ma:contentTypeScope="" ma:versionID="4c03dbca75be6a3e1a879e6a02d1ae95">
  <xsd:schema xmlns:xsd="http://www.w3.org/2001/XMLSchema" xmlns:xs="http://www.w3.org/2001/XMLSchema" xmlns:p="http://schemas.microsoft.com/office/2006/metadata/properties" xmlns:ns2="60bd4e6b-03b2-4bc5-a2de-9868511776e3" xmlns:ns3="42cc0a72-4285-46ac-9349-f8672c35412a" targetNamespace="http://schemas.microsoft.com/office/2006/metadata/properties" ma:root="true" ma:fieldsID="3fbf9253d875e5bdab55e74cd0861150" ns2:_="" ns3:_="">
    <xsd:import namespace="60bd4e6b-03b2-4bc5-a2de-9868511776e3"/>
    <xsd:import namespace="42cc0a72-4285-46ac-9349-f8672c3541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d4e6b-03b2-4bc5-a2de-986851177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3bbba6f-0403-47c1-90fb-bb277c1c23f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2cc0a72-4285-46ac-9349-f8672c35412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cbc7bde-7e20-439a-8953-6a3597908ef0}" ma:internalName="TaxCatchAll" ma:showField="CatchAllData" ma:web="42cc0a72-4285-46ac-9349-f8672c3541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924AE801-DA27-43EC-AD76-D04F5BB6A5C6}"/>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Smith</cp:lastModifiedBy>
  <cp:lastPrinted>2015-04-21T20:47:43Z</cp:lastPrinted>
  <dcterms:created xsi:type="dcterms:W3CDTF">2010-06-21T21:00:23Z</dcterms:created>
  <dcterms:modified xsi:type="dcterms:W3CDTF">2024-05-31T18:48:50Z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0x010100F6D8D750C2B1A045B268C24C09EA0025</vt:lpwstr>
  </property>
  <property fmtid="{D5CDD505-2E9C-101B-9397-08002B2CF9AE}" pid="4" name="Order">
    <vt:r8>100</vt:r8>
  </property>
</Properties>
</file>